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/>
  </bookViews>
  <sheets>
    <sheet name="Calendário de Limpeza " sheetId="4" r:id="rId1"/>
  </sheets>
  <definedNames>
    <definedName name="AbrDom1">DATE(CalendárioAno,4,1)-WEEKDAY(DATE(CalendárioAno,4,1))+1</definedName>
    <definedName name="AgoDom1">DATE(CalendárioAno,8,1)-WEEKDAY(DATE(CalendárioAno,8,1))+1</definedName>
    <definedName name="CalendárioAno">'Calendário de Limpeza '!$AE$3</definedName>
    <definedName name="DatasImportantes">'Calendário de Limpeza '!$D$6:$G$20</definedName>
    <definedName name="DezDom1">DATE(CalendárioAno,12,1)-WEEKDAY(DATE(CalendárioAno,12,1))+1</definedName>
    <definedName name="FevDom1">DATE(CalendárioAno,2,1)-WEEKDAY(DATE(CalendárioAno,2,1))+1</definedName>
    <definedName name="JanDom1">DATE(CalendárioAno,1,1)-WEEKDAY(DATE(CalendárioAno,1,1))+1</definedName>
    <definedName name="JulDom1">DATE(CalendárioAno,7,1)-WEEKDAY(DATE(CalendárioAno,7,1))+1</definedName>
    <definedName name="JunDom1">DATE(CalendárioAno,6,1)-WEEKDAY(DATE(CalendárioAno,6,1))+1</definedName>
    <definedName name="MaiDom1">DATE(CalendárioAno,5,1)-WEEKDAY(DATE(CalendárioAno,5,1))+1</definedName>
    <definedName name="MarDom1">DATE(CalendárioAno,3,1)-WEEKDAY(DATE(CalendárioAno,3,1))+1</definedName>
    <definedName name="NovDom1">DATE(CalendárioAno,11,1)-WEEKDAY(DATE(CalendárioAno,11,1))+1</definedName>
    <definedName name="OutDom1">DATE(CalendárioAno,10,1)-WEEKDAY(DATE(CalendárioAno,10,1))+1</definedName>
    <definedName name="_xlnm.Print_Area" localSheetId="0">'Calendário de Limpeza '!$B$1:$AK$50</definedName>
    <definedName name="SetDom1">DATE(CalendárioAno,9,1)-WEEKDAY(DATE(CalendárioAno,9,1))+1</definedName>
  </definedNames>
  <calcPr calcId="152511"/>
</workbook>
</file>

<file path=xl/calcChain.xml><?xml version="1.0" encoding="utf-8"?>
<calcChain xmlns="http://schemas.openxmlformats.org/spreadsheetml/2006/main">
  <c r="AJ49" i="4" l="1"/>
  <c r="AI49" i="4"/>
  <c r="AH49" i="4"/>
  <c r="AG49" i="4"/>
  <c r="AF49" i="4"/>
  <c r="AE49" i="4"/>
  <c r="AD49" i="4"/>
  <c r="AJ48" i="4"/>
  <c r="AI48" i="4"/>
  <c r="AH48" i="4"/>
  <c r="AG48" i="4"/>
  <c r="AF48" i="4"/>
  <c r="AE48" i="4"/>
  <c r="AD48" i="4"/>
  <c r="AJ47" i="4"/>
  <c r="AI47" i="4"/>
  <c r="AH47" i="4"/>
  <c r="AG47" i="4"/>
  <c r="AF47" i="4"/>
  <c r="AE47" i="4"/>
  <c r="AD47" i="4"/>
  <c r="AJ46" i="4"/>
  <c r="AI46" i="4"/>
  <c r="AH46" i="4"/>
  <c r="AG46" i="4"/>
  <c r="AF46" i="4"/>
  <c r="AE46" i="4"/>
  <c r="AD46" i="4"/>
  <c r="AJ45" i="4"/>
  <c r="AI45" i="4"/>
  <c r="AH45" i="4"/>
  <c r="AG45" i="4"/>
  <c r="AF45" i="4"/>
  <c r="AE45" i="4"/>
  <c r="AD45" i="4"/>
  <c r="AJ44" i="4"/>
  <c r="AI44" i="4"/>
  <c r="AH44" i="4"/>
  <c r="AG44" i="4"/>
  <c r="AF44" i="4"/>
  <c r="AE44" i="4"/>
  <c r="AD44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AA47" i="4"/>
  <c r="Z47" i="4"/>
  <c r="Y47" i="4"/>
  <c r="X47" i="4"/>
  <c r="W47" i="4"/>
  <c r="V47" i="4"/>
  <c r="U47" i="4"/>
  <c r="AA46" i="4"/>
  <c r="Z46" i="4"/>
  <c r="Y46" i="4"/>
  <c r="X46" i="4"/>
  <c r="W46" i="4"/>
  <c r="V46" i="4"/>
  <c r="U46" i="4"/>
  <c r="AA45" i="4"/>
  <c r="Z45" i="4"/>
  <c r="Y45" i="4"/>
  <c r="X45" i="4"/>
  <c r="W45" i="4"/>
  <c r="V45" i="4"/>
  <c r="U45" i="4"/>
  <c r="AA44" i="4"/>
  <c r="Z44" i="4"/>
  <c r="Y44" i="4"/>
  <c r="X44" i="4"/>
  <c r="W44" i="4"/>
  <c r="V44" i="4"/>
  <c r="U44" i="4"/>
  <c r="R49" i="4"/>
  <c r="Q49" i="4"/>
  <c r="P49" i="4"/>
  <c r="O49" i="4"/>
  <c r="N49" i="4"/>
  <c r="M49" i="4"/>
  <c r="L49" i="4"/>
  <c r="R48" i="4"/>
  <c r="Q48" i="4"/>
  <c r="P48" i="4"/>
  <c r="O48" i="4"/>
  <c r="N48" i="4"/>
  <c r="M48" i="4"/>
  <c r="L48" i="4"/>
  <c r="R47" i="4"/>
  <c r="Q47" i="4"/>
  <c r="P47" i="4"/>
  <c r="O47" i="4"/>
  <c r="N47" i="4"/>
  <c r="M47" i="4"/>
  <c r="L47" i="4"/>
  <c r="R46" i="4"/>
  <c r="Q46" i="4"/>
  <c r="P46" i="4"/>
  <c r="O46" i="4"/>
  <c r="N46" i="4"/>
  <c r="M46" i="4"/>
  <c r="L46" i="4"/>
  <c r="R45" i="4"/>
  <c r="Q45" i="4"/>
  <c r="P45" i="4"/>
  <c r="O45" i="4"/>
  <c r="N45" i="4"/>
  <c r="M45" i="4"/>
  <c r="L45" i="4"/>
  <c r="R44" i="4"/>
  <c r="Q44" i="4"/>
  <c r="P44" i="4"/>
  <c r="O44" i="4"/>
  <c r="N44" i="4"/>
  <c r="M44" i="4"/>
  <c r="L44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AJ40" i="4"/>
  <c r="AI40" i="4"/>
  <c r="AH40" i="4"/>
  <c r="AG40" i="4"/>
  <c r="AF40" i="4"/>
  <c r="AE40" i="4"/>
  <c r="AD40" i="4"/>
  <c r="AJ39" i="4"/>
  <c r="AI39" i="4"/>
  <c r="AH39" i="4"/>
  <c r="AG39" i="4"/>
  <c r="AF39" i="4"/>
  <c r="AE39" i="4"/>
  <c r="AD39" i="4"/>
  <c r="AJ38" i="4"/>
  <c r="AI38" i="4"/>
  <c r="AH38" i="4"/>
  <c r="AG38" i="4"/>
  <c r="AF38" i="4"/>
  <c r="AE38" i="4"/>
  <c r="AD38" i="4"/>
  <c r="AJ37" i="4"/>
  <c r="AI37" i="4"/>
  <c r="AH37" i="4"/>
  <c r="AG37" i="4"/>
  <c r="AF37" i="4"/>
  <c r="AE37" i="4"/>
  <c r="AD37" i="4"/>
  <c r="AJ36" i="4"/>
  <c r="AI36" i="4"/>
  <c r="AH36" i="4"/>
  <c r="AG36" i="4"/>
  <c r="AF36" i="4"/>
  <c r="AE36" i="4"/>
  <c r="AD36" i="4"/>
  <c r="AJ35" i="4"/>
  <c r="AI35" i="4"/>
  <c r="AH35" i="4"/>
  <c r="AG35" i="4"/>
  <c r="AF35" i="4"/>
  <c r="AE35" i="4"/>
  <c r="AD35" i="4"/>
  <c r="AA40" i="4"/>
  <c r="Z40" i="4"/>
  <c r="Y40" i="4"/>
  <c r="X40" i="4"/>
  <c r="W40" i="4"/>
  <c r="V40" i="4"/>
  <c r="U40" i="4"/>
  <c r="AA39" i="4"/>
  <c r="Z39" i="4"/>
  <c r="Y39" i="4"/>
  <c r="X39" i="4"/>
  <c r="W39" i="4"/>
  <c r="V39" i="4"/>
  <c r="U39" i="4"/>
  <c r="AA38" i="4"/>
  <c r="Z38" i="4"/>
  <c r="Y38" i="4"/>
  <c r="X38" i="4"/>
  <c r="W38" i="4"/>
  <c r="V38" i="4"/>
  <c r="U38" i="4"/>
  <c r="AA37" i="4"/>
  <c r="Z37" i="4"/>
  <c r="Y37" i="4"/>
  <c r="X37" i="4"/>
  <c r="W37" i="4"/>
  <c r="V37" i="4"/>
  <c r="U37" i="4"/>
  <c r="AA36" i="4"/>
  <c r="Z36" i="4"/>
  <c r="Y36" i="4"/>
  <c r="X36" i="4"/>
  <c r="W36" i="4"/>
  <c r="V36" i="4"/>
  <c r="U36" i="4"/>
  <c r="AA35" i="4"/>
  <c r="Z35" i="4"/>
  <c r="Y35" i="4"/>
  <c r="X35" i="4"/>
  <c r="W35" i="4"/>
  <c r="V35" i="4"/>
  <c r="U35" i="4"/>
  <c r="R40" i="4"/>
  <c r="Q40" i="4"/>
  <c r="P40" i="4"/>
  <c r="O40" i="4"/>
  <c r="N40" i="4"/>
  <c r="M40" i="4"/>
  <c r="L40" i="4"/>
  <c r="R39" i="4"/>
  <c r="Q39" i="4"/>
  <c r="P39" i="4"/>
  <c r="O39" i="4"/>
  <c r="N39" i="4"/>
  <c r="M39" i="4"/>
  <c r="L39" i="4"/>
  <c r="R38" i="4"/>
  <c r="Q38" i="4"/>
  <c r="P38" i="4"/>
  <c r="O38" i="4"/>
  <c r="N38" i="4"/>
  <c r="M38" i="4"/>
  <c r="L38" i="4"/>
  <c r="R37" i="4"/>
  <c r="Q37" i="4"/>
  <c r="P37" i="4"/>
  <c r="O37" i="4"/>
  <c r="N37" i="4"/>
  <c r="M37" i="4"/>
  <c r="L37" i="4"/>
  <c r="R36" i="4"/>
  <c r="Q36" i="4"/>
  <c r="P36" i="4"/>
  <c r="O36" i="4"/>
  <c r="N36" i="4"/>
  <c r="M36" i="4"/>
  <c r="L36" i="4"/>
  <c r="R35" i="4"/>
  <c r="Q35" i="4"/>
  <c r="P35" i="4"/>
  <c r="O35" i="4"/>
  <c r="N35" i="4"/>
  <c r="M35" i="4"/>
  <c r="L35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I35" i="4"/>
  <c r="H35" i="4"/>
  <c r="G35" i="4"/>
  <c r="F35" i="4"/>
  <c r="E35" i="4"/>
  <c r="D35" i="4"/>
  <c r="C35" i="4"/>
  <c r="AJ31" i="4"/>
  <c r="AI31" i="4"/>
  <c r="AH31" i="4"/>
  <c r="AG31" i="4"/>
  <c r="AF31" i="4"/>
  <c r="AE31" i="4"/>
  <c r="AD31" i="4"/>
  <c r="AJ30" i="4"/>
  <c r="AI30" i="4"/>
  <c r="AH30" i="4"/>
  <c r="AG30" i="4"/>
  <c r="AF30" i="4"/>
  <c r="AE30" i="4"/>
  <c r="AD30" i="4"/>
  <c r="AJ29" i="4"/>
  <c r="AI29" i="4"/>
  <c r="AH29" i="4"/>
  <c r="AG29" i="4"/>
  <c r="AF29" i="4"/>
  <c r="AE29" i="4"/>
  <c r="AD29" i="4"/>
  <c r="AJ28" i="4"/>
  <c r="AI28" i="4"/>
  <c r="AH28" i="4"/>
  <c r="AG28" i="4"/>
  <c r="AF28" i="4"/>
  <c r="AE28" i="4"/>
  <c r="AD28" i="4"/>
  <c r="AJ27" i="4"/>
  <c r="AI27" i="4"/>
  <c r="AH27" i="4"/>
  <c r="AG27" i="4"/>
  <c r="AF27" i="4"/>
  <c r="AE27" i="4"/>
  <c r="AD27" i="4"/>
  <c r="AJ26" i="4"/>
  <c r="AI26" i="4"/>
  <c r="AH26" i="4"/>
  <c r="AG26" i="4"/>
  <c r="AF26" i="4"/>
  <c r="AE26" i="4"/>
  <c r="AD26" i="4"/>
  <c r="AA31" i="4"/>
  <c r="Z31" i="4"/>
  <c r="Y31" i="4"/>
  <c r="X31" i="4"/>
  <c r="W31" i="4"/>
  <c r="V31" i="4"/>
  <c r="U31" i="4"/>
  <c r="AA30" i="4"/>
  <c r="Z30" i="4"/>
  <c r="Y30" i="4"/>
  <c r="X30" i="4"/>
  <c r="W30" i="4"/>
  <c r="V30" i="4"/>
  <c r="U30" i="4"/>
  <c r="AA29" i="4"/>
  <c r="Z29" i="4"/>
  <c r="Y29" i="4"/>
  <c r="X29" i="4"/>
  <c r="W29" i="4"/>
  <c r="V29" i="4"/>
  <c r="U29" i="4"/>
  <c r="AA28" i="4"/>
  <c r="Z28" i="4"/>
  <c r="Y28" i="4"/>
  <c r="X28" i="4"/>
  <c r="W28" i="4"/>
  <c r="V28" i="4"/>
  <c r="U28" i="4"/>
  <c r="AA27" i="4"/>
  <c r="Z27" i="4"/>
  <c r="Y27" i="4"/>
  <c r="X27" i="4"/>
  <c r="W27" i="4"/>
  <c r="V27" i="4"/>
  <c r="U27" i="4"/>
  <c r="AA26" i="4"/>
  <c r="Z26" i="4"/>
  <c r="Y26" i="4"/>
  <c r="X26" i="4"/>
  <c r="W26" i="4"/>
  <c r="V26" i="4"/>
  <c r="U26" i="4"/>
  <c r="R31" i="4"/>
  <c r="Q31" i="4"/>
  <c r="P31" i="4"/>
  <c r="O31" i="4"/>
  <c r="N31" i="4"/>
  <c r="M31" i="4"/>
  <c r="L31" i="4"/>
  <c r="R30" i="4"/>
  <c r="Q30" i="4"/>
  <c r="P30" i="4"/>
  <c r="O30" i="4"/>
  <c r="N30" i="4"/>
  <c r="M30" i="4"/>
  <c r="L30" i="4"/>
  <c r="R29" i="4"/>
  <c r="Q29" i="4"/>
  <c r="P29" i="4"/>
  <c r="O29" i="4"/>
  <c r="N29" i="4"/>
  <c r="M29" i="4"/>
  <c r="L29" i="4"/>
  <c r="R28" i="4"/>
  <c r="Q28" i="4"/>
  <c r="P28" i="4"/>
  <c r="O28" i="4"/>
  <c r="N28" i="4"/>
  <c r="M28" i="4"/>
  <c r="L28" i="4"/>
  <c r="R27" i="4"/>
  <c r="Q27" i="4"/>
  <c r="P27" i="4"/>
  <c r="O27" i="4"/>
  <c r="N27" i="4"/>
  <c r="M27" i="4"/>
  <c r="L27" i="4"/>
  <c r="R26" i="4"/>
  <c r="Q26" i="4"/>
  <c r="P26" i="4"/>
  <c r="O26" i="4"/>
  <c r="N26" i="4"/>
  <c r="M26" i="4"/>
  <c r="L26" i="4"/>
  <c r="I31" i="4"/>
  <c r="H31" i="4"/>
  <c r="G31" i="4"/>
  <c r="F31" i="4"/>
  <c r="E31" i="4"/>
  <c r="D31" i="4"/>
  <c r="C31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I26" i="4"/>
  <c r="H26" i="4"/>
  <c r="G26" i="4"/>
  <c r="F26" i="4"/>
  <c r="E26" i="4"/>
  <c r="D26" i="4"/>
  <c r="C26" i="4"/>
  <c r="AD42" i="4"/>
  <c r="U42" i="4"/>
  <c r="L42" i="4"/>
  <c r="C42" i="4"/>
  <c r="AD33" i="4"/>
  <c r="U33" i="4"/>
  <c r="L33" i="4"/>
  <c r="C33" i="4"/>
  <c r="AD24" i="4"/>
  <c r="U24" i="4"/>
  <c r="L24" i="4"/>
  <c r="C24" i="4"/>
</calcChain>
</file>

<file path=xl/sharedStrings.xml><?xml version="1.0" encoding="utf-8"?>
<sst xmlns="http://schemas.openxmlformats.org/spreadsheetml/2006/main" count="88" uniqueCount="8">
  <si>
    <t>S</t>
  </si>
  <si>
    <t>T</t>
  </si>
  <si>
    <t>Anotações</t>
  </si>
  <si>
    <t>Q</t>
  </si>
  <si>
    <t>D</t>
  </si>
  <si>
    <t xml:space="preserve">  Assinatura do Responsável pelo turno: _______________________________</t>
  </si>
  <si>
    <t xml:space="preserve">  Assinatura do Responsável pela Manutenção: _________________________</t>
  </si>
  <si>
    <t>Calendário de Limpeza Fábrica de 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</si>
</sst>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"/>
  </numFmts>
  <fonts count="25" x14ac:knownFonts="1">
    <font>
      <sz val="10"/>
      <color theme="1"/>
      <name val="Calibri"/>
      <family val="2"/>
      <scheme val="minor"/>
    </font>
    <font>
      <b/>
      <sz val="12"/>
      <color theme="0"/>
      <name val="Cambria"/>
      <family val="4"/>
      <scheme val="major"/>
    </font>
    <font>
      <sz val="11"/>
      <color theme="1"/>
      <name val="Cambria"/>
      <family val="4"/>
      <scheme val="major"/>
    </font>
    <font>
      <sz val="11"/>
      <color rgb="FFFFFF00"/>
      <name val="Cambria"/>
      <family val="4"/>
      <scheme val="major"/>
    </font>
    <font>
      <sz val="10"/>
      <color rgb="FFFFFF00"/>
      <name val="Cambria"/>
      <family val="4"/>
      <scheme val="major"/>
    </font>
    <font>
      <sz val="10"/>
      <color theme="4"/>
      <name val="Cambria"/>
      <family val="4"/>
      <scheme val="major"/>
    </font>
    <font>
      <b/>
      <sz val="12"/>
      <color theme="1"/>
      <name val="Cambria"/>
      <family val="2"/>
      <scheme val="maj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mbria"/>
      <family val="4"/>
      <scheme val="major"/>
    </font>
    <font>
      <b/>
      <sz val="11.5"/>
      <color theme="1"/>
      <name val="Cambria"/>
      <family val="2"/>
      <scheme val="major"/>
    </font>
    <font>
      <b/>
      <sz val="11.5"/>
      <color theme="0" tint="-0.249977111117893"/>
      <name val="Calibri"/>
      <family val="2"/>
      <scheme val="minor"/>
    </font>
    <font>
      <b/>
      <sz val="28"/>
      <color theme="0"/>
      <name val="Cambria"/>
      <family val="1"/>
      <scheme val="major"/>
    </font>
    <font>
      <sz val="10"/>
      <color theme="0"/>
      <name val="Calibri"/>
      <family val="2"/>
      <scheme val="minor"/>
    </font>
    <font>
      <sz val="11"/>
      <color theme="0"/>
      <name val="Cambria"/>
      <family val="4"/>
      <scheme val="major"/>
    </font>
    <font>
      <sz val="12"/>
      <color theme="0"/>
      <name val="Cambria"/>
      <family val="1"/>
      <scheme val="major"/>
    </font>
    <font>
      <sz val="12"/>
      <color theme="0"/>
      <name val="Cambria"/>
      <family val="4"/>
      <scheme val="maj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rgb="FFFFC000"/>
      <name val="Cambria"/>
      <family val="1"/>
      <scheme val="major"/>
    </font>
    <font>
      <b/>
      <sz val="24"/>
      <color theme="0"/>
      <name val="Cambria"/>
      <family val="1"/>
      <scheme val="major"/>
    </font>
    <font>
      <sz val="10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2"/>
      <color rgb="FFFFC000"/>
      <name val="Cambria"/>
      <family val="1"/>
      <scheme val="major"/>
    </font>
    <font>
      <sz val="10"/>
      <color rgb="FFFFC000"/>
      <name val="Cambria"/>
      <family val="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8" fillId="0" borderId="0"/>
  </cellStyleXfs>
  <cellXfs count="48">
    <xf numFmtId="0" fontId="0" fillId="0" borderId="0" xfId="0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7" fillId="0" borderId="0" xfId="0" applyFont="1"/>
    <xf numFmtId="0" fontId="11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164" fontId="0" fillId="2" borderId="0" xfId="0" applyNumberFormat="1" applyFont="1" applyFill="1" applyBorder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" fillId="3" borderId="0" xfId="0" applyFont="1" applyFill="1" applyAlignment="1">
      <alignment horizontal="left" indent="1"/>
    </xf>
    <xf numFmtId="0" fontId="15" fillId="3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6" fillId="3" borderId="0" xfId="0" applyFont="1" applyFill="1"/>
    <xf numFmtId="0" fontId="17" fillId="3" borderId="0" xfId="0" applyFont="1" applyFill="1"/>
    <xf numFmtId="0" fontId="8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9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4" fillId="3" borderId="0" xfId="0" applyFont="1" applyFill="1" applyAlignment="1"/>
    <xf numFmtId="0" fontId="24" fillId="3" borderId="0" xfId="0" applyFont="1" applyFill="1"/>
    <xf numFmtId="0" fontId="0" fillId="0" borderId="0" xfId="0" applyAlignment="1">
      <alignment horizontal="left"/>
    </xf>
    <xf numFmtId="165" fontId="10" fillId="0" borderId="0" xfId="0" applyNumberFormat="1" applyFont="1" applyFill="1" applyBorder="1" applyAlignment="1">
      <alignment horizontal="left"/>
    </xf>
    <xf numFmtId="0" fontId="5" fillId="3" borderId="0" xfId="0" applyFont="1" applyFill="1" applyAlignment="1"/>
    <xf numFmtId="0" fontId="5" fillId="0" borderId="0" xfId="0" applyFont="1" applyFill="1"/>
    <xf numFmtId="0" fontId="5" fillId="3" borderId="0" xfId="0" applyFont="1" applyFill="1"/>
    <xf numFmtId="14" fontId="5" fillId="3" borderId="0" xfId="0" applyNumberFormat="1" applyFont="1" applyFill="1" applyAlignment="1">
      <alignment horizontal="right" indent="1"/>
    </xf>
    <xf numFmtId="0" fontId="8" fillId="3" borderId="2" xfId="0" applyFont="1" applyFill="1" applyBorder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0" fontId="21" fillId="3" borderId="1" xfId="0" applyFont="1" applyFill="1" applyBorder="1"/>
    <xf numFmtId="0" fontId="21" fillId="3" borderId="2" xfId="0" applyFont="1" applyFill="1" applyBorder="1"/>
  </cellXfs>
  <cellStyles count="2">
    <cellStyle name="Normal" xfId="0" builtinId="0" customBuiltin="1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AE$3" max="2999" min="1900" page="10" val="201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85725</xdr:rowOff>
    </xdr:from>
    <xdr:to>
      <xdr:col>36</xdr:col>
      <xdr:colOff>183262</xdr:colOff>
      <xdr:row>22</xdr:row>
      <xdr:rowOff>7239</xdr:rowOff>
    </xdr:to>
    <xdr:sp macro="" textlink="">
      <xdr:nvSpPr>
        <xdr:cNvPr id="2" name="Chalkboard frame" descr="Shape with wood texture fill, used to create a chalkboard frame."/>
        <xdr:cNvSpPr/>
      </xdr:nvSpPr>
      <xdr:spPr>
        <a:xfrm>
          <a:off x="257176" y="85725"/>
          <a:ext cx="7431786" cy="4188714"/>
        </a:xfrm>
        <a:prstGeom prst="frame">
          <a:avLst>
            <a:gd name="adj1" fmla="val 4776"/>
          </a:avLst>
        </a:prstGeom>
        <a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artisticCrisscrossEtching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37</xdr:col>
      <xdr:colOff>9526</xdr:colOff>
      <xdr:row>2</xdr:row>
      <xdr:rowOff>104775</xdr:rowOff>
    </xdr:from>
    <xdr:to>
      <xdr:col>40</xdr:col>
      <xdr:colOff>114299</xdr:colOff>
      <xdr:row>4</xdr:row>
      <xdr:rowOff>47625</xdr:rowOff>
    </xdr:to>
    <xdr:sp macro="" textlink="">
      <xdr:nvSpPr>
        <xdr:cNvPr id="4" name="Instructions" descr="To change the calendar year, click the spinner"/>
        <xdr:cNvSpPr txBox="1"/>
      </xdr:nvSpPr>
      <xdr:spPr>
        <a:xfrm>
          <a:off x="7715251" y="552450"/>
          <a:ext cx="193357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r>
            <a:rPr lang="en-US" sz="1000" b="0" i="1">
              <a:solidFill>
                <a:schemeClr val="tx1">
                  <a:lumMod val="65000"/>
                  <a:lumOff val="35000"/>
                </a:schemeClr>
              </a:solidFill>
            </a:rPr>
            <a:t>Para alterar o ano do calendário, clique no controle giratório</a:t>
          </a:r>
        </a:p>
      </xdr:txBody>
    </xdr:sp>
    <xdr:clientData fPrintsWithSheet="0"/>
  </xdr:twoCellAnchor>
  <xdr:twoCellAnchor>
    <xdr:from>
      <xdr:col>18</xdr:col>
      <xdr:colOff>114300</xdr:colOff>
      <xdr:row>4</xdr:row>
      <xdr:rowOff>85725</xdr:rowOff>
    </xdr:from>
    <xdr:to>
      <xdr:col>18</xdr:col>
      <xdr:colOff>114300</xdr:colOff>
      <xdr:row>20</xdr:row>
      <xdr:rowOff>24765</xdr:rowOff>
    </xdr:to>
    <xdr:cxnSp macro="">
      <xdr:nvCxnSpPr>
        <xdr:cNvPr id="6" name="Chalkboard divider" descr="Chalkboard divder"/>
        <xdr:cNvCxnSpPr/>
      </xdr:nvCxnSpPr>
      <xdr:spPr>
        <a:xfrm>
          <a:off x="4343400" y="1076325"/>
          <a:ext cx="0" cy="2834640"/>
        </a:xfrm>
        <a:prstGeom prst="line">
          <a:avLst/>
        </a:prstGeom>
        <a:ln w="3175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</xdr:row>
          <xdr:rowOff>85725</xdr:rowOff>
        </xdr:from>
        <xdr:to>
          <xdr:col>35</xdr:col>
          <xdr:colOff>133350</xdr:colOff>
          <xdr:row>2</xdr:row>
          <xdr:rowOff>390525</xdr:rowOff>
        </xdr:to>
        <xdr:sp macro="" textlink="">
          <xdr:nvSpPr>
            <xdr:cNvPr id="1025" name="Spinner" descr="Use the spinner button to change calendar year or change the year in cell AF3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2</xdr:col>
      <xdr:colOff>152400</xdr:colOff>
      <xdr:row>6</xdr:row>
      <xdr:rowOff>0</xdr:rowOff>
    </xdr:from>
    <xdr:to>
      <xdr:col>17</xdr:col>
      <xdr:colOff>118442</xdr:colOff>
      <xdr:row>18</xdr:row>
      <xdr:rowOff>133349</xdr:rowOff>
    </xdr:to>
    <xdr:pic>
      <xdr:nvPicPr>
        <xdr:cNvPr id="8" name="irc_mi" descr="http://www.centershopping.com.br/SYS_ImagensIlustrativas/Lazer/cinepoli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71600"/>
          <a:ext cx="3118817" cy="228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9_calendar">
  <a:themeElements>
    <a:clrScheme name="Family Calendar 2">
      <a:dk1>
        <a:sysClr val="windowText" lastClr="000000"/>
      </a:dk1>
      <a:lt1>
        <a:sysClr val="window" lastClr="FFFFFF"/>
      </a:lt1>
      <a:dk2>
        <a:srgbClr val="3E3D2D"/>
      </a:dk2>
      <a:lt2>
        <a:srgbClr val="FFFFFF"/>
      </a:lt2>
      <a:accent1>
        <a:srgbClr val="FFF078"/>
      </a:accent1>
      <a:accent2>
        <a:srgbClr val="99FF66"/>
      </a:accent2>
      <a:accent3>
        <a:srgbClr val="FF99FF"/>
      </a:accent3>
      <a:accent4>
        <a:srgbClr val="92E0F7"/>
      </a:accent4>
      <a:accent5>
        <a:srgbClr val="FFCB92"/>
      </a:accent5>
      <a:accent6>
        <a:srgbClr val="CC99FF"/>
      </a:accent6>
      <a:hlink>
        <a:srgbClr val="BBA600"/>
      </a:hlink>
      <a:folHlink>
        <a:srgbClr val="A45600"/>
      </a:folHlink>
    </a:clrScheme>
    <a:fontScheme name="Custom 7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C1:AL50"/>
  <sheetViews>
    <sheetView showGridLines="0" tabSelected="1" zoomScaleNormal="100" workbookViewId="0">
      <selection activeCell="K51" sqref="K51"/>
    </sheetView>
  </sheetViews>
  <sheetFormatPr defaultColWidth="9.140625" defaultRowHeight="12.75" x14ac:dyDescent="0.2"/>
  <cols>
    <col min="1" max="1" width="3.42578125" customWidth="1"/>
    <col min="2" max="2" width="3.140625" customWidth="1"/>
    <col min="3" max="9" width="3.28515625" customWidth="1"/>
    <col min="10" max="11" width="2.28515625" customWidth="1"/>
    <col min="12" max="18" width="3.28515625" customWidth="1"/>
    <col min="19" max="20" width="2.28515625" customWidth="1"/>
    <col min="21" max="27" width="3.28515625" customWidth="1"/>
    <col min="28" max="29" width="2.28515625" customWidth="1"/>
    <col min="30" max="37" width="3.28515625" customWidth="1"/>
  </cols>
  <sheetData>
    <row r="1" spans="3:38" ht="20.25" customHeight="1" x14ac:dyDescent="0.2"/>
    <row r="2" spans="3:38" ht="15" customHeight="1" x14ac:dyDescent="0.2"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3:38" ht="34.5" x14ac:dyDescent="0.45">
      <c r="C3" s="21"/>
      <c r="D3" s="43" t="s">
        <v>7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>
        <v>2018</v>
      </c>
      <c r="AF3" s="45"/>
      <c r="AG3" s="45"/>
      <c r="AH3" s="45"/>
      <c r="AI3" s="45"/>
      <c r="AJ3" s="20"/>
    </row>
    <row r="4" spans="3:38" ht="9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20"/>
    </row>
    <row r="5" spans="3:38" ht="15.75" x14ac:dyDescent="0.25">
      <c r="C5" s="20"/>
      <c r="D5" s="22"/>
      <c r="E5" s="23"/>
      <c r="F5" s="24"/>
      <c r="G5" s="24"/>
      <c r="H5" s="25"/>
      <c r="I5" s="25"/>
      <c r="J5" s="25"/>
      <c r="K5" s="25"/>
      <c r="L5" s="25"/>
      <c r="M5" s="22"/>
      <c r="N5" s="26"/>
      <c r="O5" s="25"/>
      <c r="P5" s="26"/>
      <c r="Q5" s="26"/>
      <c r="R5" s="32"/>
      <c r="S5" s="31"/>
      <c r="T5" s="31"/>
      <c r="U5" s="33" t="s">
        <v>2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1"/>
      <c r="AJ5" s="20"/>
    </row>
    <row r="6" spans="3:38" x14ac:dyDescent="0.2">
      <c r="C6" s="27"/>
      <c r="D6" s="41"/>
      <c r="E6" s="41"/>
      <c r="F6" s="41"/>
      <c r="G6" s="41"/>
      <c r="H6" s="38"/>
      <c r="I6" s="38"/>
      <c r="J6" s="38"/>
      <c r="K6" s="38"/>
      <c r="L6" s="38"/>
      <c r="M6" s="38"/>
      <c r="N6" s="38"/>
      <c r="O6" s="38"/>
      <c r="P6" s="38"/>
      <c r="Q6" s="38"/>
      <c r="R6" s="34"/>
      <c r="S6" s="35"/>
      <c r="T6" s="31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27"/>
      <c r="AL6" s="36" t="s">
        <v>5</v>
      </c>
    </row>
    <row r="7" spans="3:38" ht="14.25" x14ac:dyDescent="0.2">
      <c r="C7" s="30"/>
      <c r="D7" s="41"/>
      <c r="E7" s="41"/>
      <c r="F7" s="41"/>
      <c r="G7" s="41"/>
      <c r="H7" s="38"/>
      <c r="I7" s="38"/>
      <c r="J7" s="38"/>
      <c r="K7" s="38"/>
      <c r="L7" s="38"/>
      <c r="M7" s="38"/>
      <c r="N7" s="38"/>
      <c r="O7" s="38"/>
      <c r="P7" s="38"/>
      <c r="Q7" s="38"/>
      <c r="R7" s="34"/>
      <c r="S7" s="35"/>
      <c r="T7" s="31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27"/>
      <c r="AL7" s="36" t="s">
        <v>6</v>
      </c>
    </row>
    <row r="8" spans="3:38" ht="14.25" x14ac:dyDescent="0.2">
      <c r="C8" s="30"/>
      <c r="D8" s="41"/>
      <c r="E8" s="41"/>
      <c r="F8" s="41"/>
      <c r="G8" s="41"/>
      <c r="H8" s="38"/>
      <c r="I8" s="38"/>
      <c r="J8" s="38"/>
      <c r="K8" s="38"/>
      <c r="L8" s="38"/>
      <c r="M8" s="38"/>
      <c r="N8" s="38"/>
      <c r="O8" s="38"/>
      <c r="P8" s="38"/>
      <c r="Q8" s="38"/>
      <c r="R8" s="34"/>
      <c r="S8" s="35"/>
      <c r="T8" s="31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27"/>
    </row>
    <row r="9" spans="3:38" ht="14.25" x14ac:dyDescent="0.2">
      <c r="C9" s="30"/>
      <c r="D9" s="41"/>
      <c r="E9" s="41"/>
      <c r="F9" s="41"/>
      <c r="G9" s="41"/>
      <c r="H9" s="38"/>
      <c r="I9" s="38"/>
      <c r="J9" s="38"/>
      <c r="K9" s="38"/>
      <c r="L9" s="38"/>
      <c r="M9" s="38"/>
      <c r="N9" s="38"/>
      <c r="O9" s="38"/>
      <c r="P9" s="38"/>
      <c r="Q9" s="38"/>
      <c r="R9" s="34"/>
      <c r="S9" s="35"/>
      <c r="T9" s="31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27"/>
    </row>
    <row r="10" spans="3:38" ht="14.25" x14ac:dyDescent="0.2">
      <c r="C10" s="30"/>
      <c r="D10" s="41"/>
      <c r="E10" s="41"/>
      <c r="F10" s="41"/>
      <c r="G10" s="41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4"/>
      <c r="S10" s="35"/>
      <c r="T10" s="31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27"/>
    </row>
    <row r="11" spans="3:38" ht="14.25" x14ac:dyDescent="0.2">
      <c r="C11" s="30"/>
      <c r="D11" s="41"/>
      <c r="E11" s="41"/>
      <c r="F11" s="41"/>
      <c r="G11" s="41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28"/>
      <c r="S11" s="29"/>
      <c r="T11" s="27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27"/>
    </row>
    <row r="12" spans="3:38" x14ac:dyDescent="0.2">
      <c r="D12" s="41"/>
      <c r="E12" s="41"/>
      <c r="F12" s="41"/>
      <c r="G12" s="41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28"/>
      <c r="S12" s="29"/>
      <c r="T12" s="27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27"/>
    </row>
    <row r="13" spans="3:38" ht="14.25" x14ac:dyDescent="0.2">
      <c r="C13" s="30"/>
      <c r="D13" s="41"/>
      <c r="E13" s="41"/>
      <c r="F13" s="41"/>
      <c r="G13" s="41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28"/>
      <c r="S13" s="29"/>
      <c r="T13" s="27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27"/>
    </row>
    <row r="14" spans="3:38" ht="14.25" x14ac:dyDescent="0.2">
      <c r="C14" s="30"/>
      <c r="D14" s="41"/>
      <c r="E14" s="41"/>
      <c r="F14" s="41"/>
      <c r="G14" s="41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28"/>
      <c r="S14" s="29"/>
      <c r="T14" s="27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27"/>
    </row>
    <row r="15" spans="3:38" ht="14.25" x14ac:dyDescent="0.2">
      <c r="C15" s="30"/>
      <c r="D15" s="41"/>
      <c r="E15" s="41"/>
      <c r="F15" s="41"/>
      <c r="G15" s="41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28"/>
      <c r="S15" s="29"/>
      <c r="T15" s="27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27"/>
    </row>
    <row r="16" spans="3:38" ht="14.25" x14ac:dyDescent="0.2">
      <c r="C16" s="30"/>
      <c r="D16" s="41"/>
      <c r="E16" s="41"/>
      <c r="F16" s="41"/>
      <c r="G16" s="41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28"/>
      <c r="S16" s="29"/>
      <c r="T16" s="27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27"/>
    </row>
    <row r="17" spans="3:37" ht="14.25" x14ac:dyDescent="0.2">
      <c r="C17" s="30"/>
      <c r="D17" s="41"/>
      <c r="E17" s="41"/>
      <c r="F17" s="41"/>
      <c r="G17" s="41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28"/>
      <c r="S17" s="29"/>
      <c r="T17" s="27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27"/>
    </row>
    <row r="18" spans="3:37" ht="14.25" x14ac:dyDescent="0.2">
      <c r="C18" s="30"/>
      <c r="D18" s="41"/>
      <c r="E18" s="41"/>
      <c r="F18" s="41"/>
      <c r="G18" s="41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28"/>
      <c r="S18" s="29"/>
      <c r="T18" s="27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27"/>
    </row>
    <row r="19" spans="3:37" ht="14.25" x14ac:dyDescent="0.2">
      <c r="C19" s="30"/>
      <c r="D19" s="41"/>
      <c r="E19" s="41"/>
      <c r="F19" s="41"/>
      <c r="G19" s="41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28"/>
      <c r="S19" s="29"/>
      <c r="T19" s="27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27"/>
    </row>
    <row r="20" spans="3:37" ht="14.25" x14ac:dyDescent="0.2">
      <c r="C20" s="30"/>
      <c r="D20" s="41"/>
      <c r="E20" s="41"/>
      <c r="F20" s="41"/>
      <c r="G20" s="41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28"/>
      <c r="S20" s="29"/>
      <c r="T20" s="27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27"/>
    </row>
    <row r="21" spans="3:37" ht="14.25" x14ac:dyDescent="0.2">
      <c r="C21" s="30"/>
      <c r="D21" s="40"/>
      <c r="E21" s="40"/>
      <c r="F21" s="29"/>
      <c r="G21" s="29"/>
      <c r="H21" s="29"/>
      <c r="I21" s="29"/>
      <c r="J21" s="29"/>
      <c r="K21" s="29"/>
      <c r="L21" s="29"/>
      <c r="M21" s="30"/>
      <c r="N21" s="30"/>
      <c r="O21" s="30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3:37" ht="14.25" x14ac:dyDescent="0.2">
      <c r="C22" s="14"/>
      <c r="D22" s="39"/>
      <c r="E22" s="39"/>
      <c r="F22" s="15"/>
      <c r="G22" s="15"/>
      <c r="H22" s="15"/>
      <c r="I22" s="16"/>
      <c r="J22" s="16"/>
      <c r="K22" s="16"/>
      <c r="L22" s="16"/>
      <c r="M22" s="17"/>
      <c r="N22" s="17"/>
      <c r="O22" s="17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37" ht="33.75" customHeight="1" x14ac:dyDescent="0.2"/>
    <row r="24" spans="3:37" ht="15.75" x14ac:dyDescent="0.25">
      <c r="C24" s="37">
        <f>DATE(CalendárioAno,1,1)</f>
        <v>43101</v>
      </c>
      <c r="D24" s="37"/>
      <c r="E24" s="37"/>
      <c r="F24" s="37"/>
      <c r="G24" s="37"/>
      <c r="H24" s="37"/>
      <c r="I24" s="37"/>
      <c r="J24" s="9"/>
      <c r="K24" s="1"/>
      <c r="L24" s="37">
        <f>DATE(CalendárioAno,2,1)</f>
        <v>43132</v>
      </c>
      <c r="M24" s="37"/>
      <c r="N24" s="37"/>
      <c r="O24" s="37"/>
      <c r="P24" s="37"/>
      <c r="Q24" s="37"/>
      <c r="R24" s="37"/>
      <c r="S24" s="9"/>
      <c r="U24" s="37">
        <f>DATE(CalendárioAno,3,1)</f>
        <v>43160</v>
      </c>
      <c r="V24" s="37"/>
      <c r="W24" s="37"/>
      <c r="X24" s="37"/>
      <c r="Y24" s="37"/>
      <c r="Z24" s="37"/>
      <c r="AA24" s="37"/>
      <c r="AB24" s="9"/>
      <c r="AC24" s="4"/>
      <c r="AD24" s="37">
        <f>DATE(CalendárioAno,4,1)</f>
        <v>43191</v>
      </c>
      <c r="AE24" s="37"/>
      <c r="AF24" s="37"/>
      <c r="AG24" s="37"/>
      <c r="AH24" s="37"/>
      <c r="AI24" s="37"/>
      <c r="AJ24" s="37"/>
    </row>
    <row r="25" spans="3:37" ht="15.75" x14ac:dyDescent="0.25">
      <c r="C25" s="8" t="s">
        <v>0</v>
      </c>
      <c r="D25" s="8" t="s">
        <v>1</v>
      </c>
      <c r="E25" s="8" t="s">
        <v>3</v>
      </c>
      <c r="F25" s="8" t="s">
        <v>3</v>
      </c>
      <c r="G25" s="8" t="s">
        <v>0</v>
      </c>
      <c r="H25" s="8" t="s">
        <v>0</v>
      </c>
      <c r="I25" s="8" t="s">
        <v>4</v>
      </c>
      <c r="J25" s="10"/>
      <c r="K25" s="2"/>
      <c r="L25" s="8" t="s">
        <v>0</v>
      </c>
      <c r="M25" s="8" t="s">
        <v>1</v>
      </c>
      <c r="N25" s="8" t="s">
        <v>3</v>
      </c>
      <c r="O25" s="8" t="s">
        <v>3</v>
      </c>
      <c r="P25" s="8" t="s">
        <v>0</v>
      </c>
      <c r="Q25" s="8" t="s">
        <v>0</v>
      </c>
      <c r="R25" s="8" t="s">
        <v>4</v>
      </c>
      <c r="S25" s="10"/>
      <c r="U25" s="8" t="s">
        <v>0</v>
      </c>
      <c r="V25" s="8" t="s">
        <v>1</v>
      </c>
      <c r="W25" s="8" t="s">
        <v>3</v>
      </c>
      <c r="X25" s="8" t="s">
        <v>3</v>
      </c>
      <c r="Y25" s="8" t="s">
        <v>0</v>
      </c>
      <c r="Z25" s="8" t="s">
        <v>0</v>
      </c>
      <c r="AA25" s="8" t="s">
        <v>4</v>
      </c>
      <c r="AB25" s="10"/>
      <c r="AC25" s="1"/>
      <c r="AD25" s="8" t="s">
        <v>0</v>
      </c>
      <c r="AE25" s="8" t="s">
        <v>1</v>
      </c>
      <c r="AF25" s="8" t="s">
        <v>3</v>
      </c>
      <c r="AG25" s="8" t="s">
        <v>3</v>
      </c>
      <c r="AH25" s="8" t="s">
        <v>0</v>
      </c>
      <c r="AI25" s="8" t="s">
        <v>0</v>
      </c>
      <c r="AJ25" s="8" t="s">
        <v>4</v>
      </c>
    </row>
    <row r="26" spans="3:37" x14ac:dyDescent="0.2">
      <c r="C26" s="3">
        <f>IF(DAY(JanDom1)=1,"",IF(AND(YEAR(JanDom1+1)=CalendárioAno,MONTH(JanDom1+1)=1),JanDom1+1,""))</f>
        <v>43101</v>
      </c>
      <c r="D26" s="3">
        <f>IF(DAY(JanDom1)=1,"",IF(AND(YEAR(JanDom1+2)=CalendárioAno,MONTH(JanDom1+2)=1),JanDom1+2,""))</f>
        <v>43102</v>
      </c>
      <c r="E26" s="3">
        <f>IF(DAY(JanDom1)=1,"",IF(AND(YEAR(JanDom1+3)=CalendárioAno,MONTH(JanDom1+3)=1),JanDom1+3,""))</f>
        <v>43103</v>
      </c>
      <c r="F26" s="3">
        <f>IF(DAY(JanDom1)=1,"",IF(AND(YEAR(JanDom1+4)=CalendárioAno,MONTH(JanDom1+4)=1),JanDom1+4,""))</f>
        <v>43104</v>
      </c>
      <c r="G26" s="3">
        <f>IF(DAY(JanDom1)=1,"",IF(AND(YEAR(JanDom1+5)=CalendárioAno,MONTH(JanDom1+5)=1),JanDom1+5,""))</f>
        <v>43105</v>
      </c>
      <c r="H26" s="3">
        <f>IF(DAY(JanDom1)=1,"",IF(AND(YEAR(JanDom1+6)=CalendárioAno,MONTH(JanDom1+6)=1),JanDom1+6,""))</f>
        <v>43106</v>
      </c>
      <c r="I26" s="3">
        <f>IF(DAY(JanDom1)=1,IF(AND(YEAR(JanDom1)=CalendárioAno,MONTH(JanDom1)=1),JanDom1,""),IF(AND(YEAR(JanDom1+7)=CalendárioAno,MONTH(JanDom1+7)=1),JanDom1+7,""))</f>
        <v>43107</v>
      </c>
      <c r="J26" s="11"/>
      <c r="K26" s="3"/>
      <c r="L26" s="3" t="str">
        <f>IF(DAY(FevDom1)=1,"",IF(AND(YEAR(FevDom1+1)=CalendárioAno,MONTH(FevDom1+1)=2),FevDom1+1,""))</f>
        <v/>
      </c>
      <c r="M26" s="3" t="str">
        <f>IF(DAY(FevDom1)=1,"",IF(AND(YEAR(FevDom1+2)=CalendárioAno,MONTH(FevDom1+2)=2),FevDom1+2,""))</f>
        <v/>
      </c>
      <c r="N26" s="3" t="str">
        <f>IF(DAY(FevDom1)=1,"",IF(AND(YEAR(FevDom1+3)=CalendárioAno,MONTH(FevDom1+3)=2),FevDom1+3,""))</f>
        <v/>
      </c>
      <c r="O26" s="3">
        <f>IF(DAY(FevDom1)=1,"",IF(AND(YEAR(FevDom1+4)=CalendárioAno,MONTH(FevDom1+4)=2),FevDom1+4,""))</f>
        <v>43132</v>
      </c>
      <c r="P26" s="3">
        <f>IF(DAY(FevDom1)=1,"",IF(AND(YEAR(FevDom1+5)=CalendárioAno,MONTH(FevDom1+5)=2),FevDom1+5,""))</f>
        <v>43133</v>
      </c>
      <c r="Q26" s="3">
        <f>IF(DAY(FevDom1)=1,"",IF(AND(YEAR(FevDom1+6)=CalendárioAno,MONTH(FevDom1+6)=2),FevDom1+6,""))</f>
        <v>43134</v>
      </c>
      <c r="R26" s="3">
        <f>IF(DAY(FevDom1)=1,IF(AND(YEAR(FevDom1)=CalendárioAno,MONTH(FevDom1)=2),FevDom1,""),IF(AND(YEAR(FevDom1+7)=CalendárioAno,MONTH(FevDom1+7)=2),FevDom1+7,""))</f>
        <v>43135</v>
      </c>
      <c r="S26" s="11"/>
      <c r="U26" s="3" t="str">
        <f>IF(DAY(MarDom1)=1,"",IF(AND(YEAR(MarDom1+1)=CalendárioAno,MONTH(MarDom1+1)=3),MarDom1+1,""))</f>
        <v/>
      </c>
      <c r="V26" s="3" t="str">
        <f>IF(DAY(MarDom1)=1,"",IF(AND(YEAR(MarDom1+2)=CalendárioAno,MONTH(MarDom1+2)=3),MarDom1+2,""))</f>
        <v/>
      </c>
      <c r="W26" s="3" t="str">
        <f>IF(DAY(MarDom1)=1,"",IF(AND(YEAR(MarDom1+3)=CalendárioAno,MONTH(MarDom1+3)=3),MarDom1+3,""))</f>
        <v/>
      </c>
      <c r="X26" s="3">
        <f>IF(DAY(MarDom1)=1,"",IF(AND(YEAR(MarDom1+4)=CalendárioAno,MONTH(MarDom1+4)=3),MarDom1+4,""))</f>
        <v>43160</v>
      </c>
      <c r="Y26" s="3">
        <f>IF(DAY(MarDom1)=1,"",IF(AND(YEAR(MarDom1+5)=CalendárioAno,MONTH(MarDom1+5)=3),MarDom1+5,""))</f>
        <v>43161</v>
      </c>
      <c r="Z26" s="3">
        <f>IF(DAY(MarDom1)=1,"",IF(AND(YEAR(MarDom1+6)=CalendárioAno,MONTH(MarDom1+6)=3),MarDom1+6,""))</f>
        <v>43162</v>
      </c>
      <c r="AA26" s="3">
        <f>IF(DAY(MarDom1)=1,IF(AND(YEAR(MarDom1)=CalendárioAno,MONTH(MarDom1)=3),MarDom1,""),IF(AND(YEAR(MarDom1+7)=CalendárioAno,MONTH(MarDom1+7)=3),MarDom1+7,""))</f>
        <v>43163</v>
      </c>
      <c r="AB26" s="11"/>
      <c r="AC26" s="2"/>
      <c r="AD26" s="3" t="str">
        <f>IF(DAY(AbrDom1)=1,"",IF(AND(YEAR(AbrDom1+1)=CalendárioAno,MONTH(AbrDom1+1)=4),AbrDom1+1,""))</f>
        <v/>
      </c>
      <c r="AE26" s="3" t="str">
        <f>IF(DAY(AbrDom1)=1,"",IF(AND(YEAR(AbrDom1+2)=CalendárioAno,MONTH(AbrDom1+2)=4),AbrDom1+2,""))</f>
        <v/>
      </c>
      <c r="AF26" s="3" t="str">
        <f>IF(DAY(AbrDom1)=1,"",IF(AND(YEAR(AbrDom1+3)=CalendárioAno,MONTH(AbrDom1+3)=4),AbrDom1+3,""))</f>
        <v/>
      </c>
      <c r="AG26" s="3" t="str">
        <f>IF(DAY(AbrDom1)=1,"",IF(AND(YEAR(AbrDom1+4)=CalendárioAno,MONTH(AbrDom1+4)=4),AbrDom1+4,""))</f>
        <v/>
      </c>
      <c r="AH26" s="3" t="str">
        <f>IF(DAY(AbrDom1)=1,"",IF(AND(YEAR(AbrDom1+5)=CalendárioAno,MONTH(AbrDom1+5)=4),AbrDom1+5,""))</f>
        <v/>
      </c>
      <c r="AI26" s="3" t="str">
        <f>IF(DAY(AbrDom1)=1,"",IF(AND(YEAR(AbrDom1+6)=CalendárioAno,MONTH(AbrDom1+6)=4),AbrDom1+6,""))</f>
        <v/>
      </c>
      <c r="AJ26" s="3">
        <f>IF(DAY(AbrDom1)=1,IF(AND(YEAR(AbrDom1)=CalendárioAno,MONTH(AbrDom1)=4),AbrDom1,""),IF(AND(YEAR(AbrDom1+7)=CalendárioAno,MONTH(AbrDom1+7)=4),AbrDom1+7,""))</f>
        <v>43191</v>
      </c>
    </row>
    <row r="27" spans="3:37" x14ac:dyDescent="0.2">
      <c r="C27" s="3">
        <f>IF(DAY(JanDom1)=1,IF(AND(YEAR(JanDom1+1)=CalendárioAno,MONTH(JanDom1+1)=1),JanDom1+1,""),IF(AND(YEAR(JanDom1+8)=CalendárioAno,MONTH(JanDom1+8)=1),JanDom1+8,""))</f>
        <v>43108</v>
      </c>
      <c r="D27" s="19">
        <f>IF(DAY(JanDom1)=1,IF(AND(YEAR(JanDom1+2)=CalendárioAno,MONTH(JanDom1+2)=1),JanDom1+2,""),IF(AND(YEAR(JanDom1+9)=CalendárioAno,MONTH(JanDom1+9)=1),JanDom1+9,""))</f>
        <v>43109</v>
      </c>
      <c r="E27" s="3">
        <f>IF(DAY(JanDom1)=1,IF(AND(YEAR(JanDom1+3)=CalendárioAno,MONTH(JanDom1+3)=1),JanDom1+3,""),IF(AND(YEAR(JanDom1+10)=CalendárioAno,MONTH(JanDom1+10)=1),JanDom1+10,""))</f>
        <v>43110</v>
      </c>
      <c r="F27" s="3">
        <f>IF(DAY(JanDom1)=1,IF(AND(YEAR(JanDom1+4)=CalendárioAno,MONTH(JanDom1+4)=1),JanDom1+4,""),IF(AND(YEAR(JanDom1+11)=CalendárioAno,MONTH(JanDom1+11)=1),JanDom1+11,""))</f>
        <v>43111</v>
      </c>
      <c r="G27" s="3">
        <f>IF(DAY(JanDom1)=1,IF(AND(YEAR(JanDom1+5)=CalendárioAno,MONTH(JanDom1+5)=1),JanDom1+5,""),IF(AND(YEAR(JanDom1+12)=CalendárioAno,MONTH(JanDom1+12)=1),JanDom1+12,""))</f>
        <v>43112</v>
      </c>
      <c r="H27" s="3">
        <f>IF(DAY(JanDom1)=1,IF(AND(YEAR(JanDom1+6)=CalendárioAno,MONTH(JanDom1+6)=1),JanDom1+6,""),IF(AND(YEAR(JanDom1+13)=CalendárioAno,MONTH(JanDom1+13)=1),JanDom1+13,""))</f>
        <v>43113</v>
      </c>
      <c r="I27" s="3">
        <f>IF(DAY(JanDom1)=1,IF(AND(YEAR(JanDom1+7)=CalendárioAno,MONTH(JanDom1+7)=1),JanDom1+7,""),IF(AND(YEAR(JanDom1+14)=CalendárioAno,MONTH(JanDom1+14)=1),JanDom1+14,""))</f>
        <v>43114</v>
      </c>
      <c r="J27" s="11"/>
      <c r="K27" s="3"/>
      <c r="L27" s="3">
        <f>IF(DAY(FevDom1)=1,IF(AND(YEAR(FevDom1+1)=CalendárioAno,MONTH(FevDom1+1)=2),FevDom1+1,""),IF(AND(YEAR(FevDom1+8)=CalendárioAno,MONTH(FevDom1+8)=2),FevDom1+8,""))</f>
        <v>43136</v>
      </c>
      <c r="M27" s="19">
        <f>IF(DAY(FevDom1)=1,IF(AND(YEAR(FevDom1+2)=CalendárioAno,MONTH(FevDom1+2)=2),FevDom1+2,""),IF(AND(YEAR(FevDom1+9)=CalendárioAno,MONTH(FevDom1+9)=2),FevDom1+9,""))</f>
        <v>43137</v>
      </c>
      <c r="N27" s="3">
        <f>IF(DAY(FevDom1)=1,IF(AND(YEAR(FevDom1+3)=CalendárioAno,MONTH(FevDom1+3)=2),FevDom1+3,""),IF(AND(YEAR(FevDom1+10)=CalendárioAno,MONTH(FevDom1+10)=2),FevDom1+10,""))</f>
        <v>43138</v>
      </c>
      <c r="O27" s="3">
        <f>IF(DAY(FevDom1)=1,IF(AND(YEAR(FevDom1+4)=CalendárioAno,MONTH(FevDom1+4)=2),FevDom1+4,""),IF(AND(YEAR(FevDom1+11)=CalendárioAno,MONTH(FevDom1+11)=2),FevDom1+11,""))</f>
        <v>43139</v>
      </c>
      <c r="P27" s="3">
        <f>IF(DAY(FevDom1)=1,IF(AND(YEAR(FevDom1+5)=CalendárioAno,MONTH(FevDom1+5)=2),FevDom1+5,""),IF(AND(YEAR(FevDom1+12)=CalendárioAno,MONTH(FevDom1+12)=2),FevDom1+12,""))</f>
        <v>43140</v>
      </c>
      <c r="Q27" s="3">
        <f>IF(DAY(FevDom1)=1,IF(AND(YEAR(FevDom1+6)=CalendárioAno,MONTH(FevDom1+6)=2),FevDom1+6,""),IF(AND(YEAR(FevDom1+13)=CalendárioAno,MONTH(FevDom1+13)=2),FevDom1+13,""))</f>
        <v>43141</v>
      </c>
      <c r="R27" s="3">
        <f>IF(DAY(FevDom1)=1,IF(AND(YEAR(FevDom1+7)=CalendárioAno,MONTH(FevDom1+7)=2),FevDom1+7,""),IF(AND(YEAR(FevDom1+14)=CalendárioAno,MONTH(FevDom1+14)=2),FevDom1+14,""))</f>
        <v>43142</v>
      </c>
      <c r="S27" s="11"/>
      <c r="U27" s="3">
        <f>IF(DAY(MarDom1)=1,IF(AND(YEAR(MarDom1+1)=CalendárioAno,MONTH(MarDom1+1)=3),MarDom1+1,""),IF(AND(YEAR(MarDom1+8)=CalendárioAno,MONTH(MarDom1+8)=3),MarDom1+8,""))</f>
        <v>43164</v>
      </c>
      <c r="V27" s="19">
        <f>IF(DAY(MarDom1)=1,IF(AND(YEAR(MarDom1+2)=CalendárioAno,MONTH(MarDom1+2)=3),MarDom1+2,""),IF(AND(YEAR(MarDom1+9)=CalendárioAno,MONTH(MarDom1+9)=3),MarDom1+9,""))</f>
        <v>43165</v>
      </c>
      <c r="W27" s="3">
        <f>IF(DAY(MarDom1)=1,IF(AND(YEAR(MarDom1+3)=CalendárioAno,MONTH(MarDom1+3)=3),MarDom1+3,""),IF(AND(YEAR(MarDom1+10)=CalendárioAno,MONTH(MarDom1+10)=3),MarDom1+10,""))</f>
        <v>43166</v>
      </c>
      <c r="X27" s="3">
        <f>IF(DAY(MarDom1)=1,IF(AND(YEAR(MarDom1+4)=CalendárioAno,MONTH(MarDom1+4)=3),MarDom1+4,""),IF(AND(YEAR(MarDom1+11)=CalendárioAno,MONTH(MarDom1+11)=3),MarDom1+11,""))</f>
        <v>43167</v>
      </c>
      <c r="Y27" s="3">
        <f>IF(DAY(MarDom1)=1,IF(AND(YEAR(MarDom1+5)=CalendárioAno,MONTH(MarDom1+5)=3),MarDom1+5,""),IF(AND(YEAR(MarDom1+12)=CalendárioAno,MONTH(MarDom1+12)=3),MarDom1+12,""))</f>
        <v>43168</v>
      </c>
      <c r="Z27" s="3">
        <f>IF(DAY(MarDom1)=1,IF(AND(YEAR(MarDom1+6)=CalendárioAno,MONTH(MarDom1+6)=3),MarDom1+6,""),IF(AND(YEAR(MarDom1+13)=CalendárioAno,MONTH(MarDom1+13)=3),MarDom1+13,""))</f>
        <v>43169</v>
      </c>
      <c r="AA27" s="3">
        <f>IF(DAY(MarDom1)=1,IF(AND(YEAR(MarDom1+7)=CalendárioAno,MONTH(MarDom1+7)=3),MarDom1+7,""),IF(AND(YEAR(MarDom1+14)=CalendárioAno,MONTH(MarDom1+14)=3),MarDom1+14,""))</f>
        <v>43170</v>
      </c>
      <c r="AB27" s="11"/>
      <c r="AC27" s="3"/>
      <c r="AD27" s="3">
        <f>IF(DAY(AbrDom1)=1,IF(AND(YEAR(AbrDom1+1)=CalendárioAno,MONTH(AbrDom1+1)=4),AbrDom1+1,""),IF(AND(YEAR(AbrDom1+8)=CalendárioAno,MONTH(AbrDom1+8)=4),AbrDom1+8,""))</f>
        <v>43192</v>
      </c>
      <c r="AE27" s="19">
        <f>IF(DAY(AbrDom1)=1,IF(AND(YEAR(AbrDom1+2)=CalendárioAno,MONTH(AbrDom1+2)=4),AbrDom1+2,""),IF(AND(YEAR(AbrDom1+9)=CalendárioAno,MONTH(AbrDom1+9)=4),AbrDom1+9,""))</f>
        <v>43193</v>
      </c>
      <c r="AF27" s="3">
        <f>IF(DAY(AbrDom1)=1,IF(AND(YEAR(AbrDom1+3)=CalendárioAno,MONTH(AbrDom1+3)=4),AbrDom1+3,""),IF(AND(YEAR(AbrDom1+10)=CalendárioAno,MONTH(AbrDom1+10)=4),AbrDom1+10,""))</f>
        <v>43194</v>
      </c>
      <c r="AG27" s="3">
        <f>IF(DAY(AbrDom1)=1,IF(AND(YEAR(AbrDom1+4)=CalendárioAno,MONTH(AbrDom1+4)=4),AbrDom1+4,""),IF(AND(YEAR(AbrDom1+11)=CalendárioAno,MONTH(AbrDom1+11)=4),AbrDom1+11,""))</f>
        <v>43195</v>
      </c>
      <c r="AH27" s="3">
        <f>IF(DAY(AbrDom1)=1,IF(AND(YEAR(AbrDom1+5)=CalendárioAno,MONTH(AbrDom1+5)=4),AbrDom1+5,""),IF(AND(YEAR(AbrDom1+12)=CalendárioAno,MONTH(AbrDom1+12)=4),AbrDom1+12,""))</f>
        <v>43196</v>
      </c>
      <c r="AI27" s="3">
        <f>IF(DAY(AbrDom1)=1,IF(AND(YEAR(AbrDom1+6)=CalendárioAno,MONTH(AbrDom1+6)=4),AbrDom1+6,""),IF(AND(YEAR(AbrDom1+13)=CalendárioAno,MONTH(AbrDom1+13)=4),AbrDom1+13,""))</f>
        <v>43197</v>
      </c>
      <c r="AJ27" s="3">
        <f>IF(DAY(AbrDom1)=1,IF(AND(YEAR(AbrDom1+7)=CalendárioAno,MONTH(AbrDom1+7)=4),AbrDom1+7,""),IF(AND(YEAR(AbrDom1+14)=CalendárioAno,MONTH(AbrDom1+14)=4),AbrDom1+14,""))</f>
        <v>43198</v>
      </c>
    </row>
    <row r="28" spans="3:37" x14ac:dyDescent="0.2">
      <c r="C28" s="3">
        <f>IF(DAY(JanDom1)=1,IF(AND(YEAR(JanDom1+8)=CalendárioAno,MONTH(JanDom1+8)=1),JanDom1+8,""),IF(AND(YEAR(JanDom1+15)=CalendárioAno,MONTH(JanDom1+15)=1),JanDom1+15,""))</f>
        <v>43115</v>
      </c>
      <c r="D28" s="3">
        <f>IF(DAY(JanDom1)=1,IF(AND(YEAR(JanDom1+9)=CalendárioAno,MONTH(JanDom1+9)=1),JanDom1+9,""),IF(AND(YEAR(JanDom1+16)=CalendárioAno,MONTH(JanDom1+16)=1),JanDom1+16,""))</f>
        <v>43116</v>
      </c>
      <c r="E28" s="3">
        <f>IF(DAY(JanDom1)=1,IF(AND(YEAR(JanDom1+10)=CalendárioAno,MONTH(JanDom1+10)=1),JanDom1+10,""),IF(AND(YEAR(JanDom1+17)=CalendárioAno,MONTH(JanDom1+17)=1),JanDom1+17,""))</f>
        <v>43117</v>
      </c>
      <c r="F28" s="3">
        <f>IF(DAY(JanDom1)=1,IF(AND(YEAR(JanDom1+11)=CalendárioAno,MONTH(JanDom1+11)=1),JanDom1+11,""),IF(AND(YEAR(JanDom1+18)=CalendárioAno,MONTH(JanDom1+18)=1),JanDom1+18,""))</f>
        <v>43118</v>
      </c>
      <c r="G28" s="3">
        <f>IF(DAY(JanDom1)=1,IF(AND(YEAR(JanDom1+12)=CalendárioAno,MONTH(JanDom1+12)=1),JanDom1+12,""),IF(AND(YEAR(JanDom1+19)=CalendárioAno,MONTH(JanDom1+19)=1),JanDom1+19,""))</f>
        <v>43119</v>
      </c>
      <c r="H28" s="3">
        <f>IF(DAY(JanDom1)=1,IF(AND(YEAR(JanDom1+13)=CalendárioAno,MONTH(JanDom1+13)=1),JanDom1+13,""),IF(AND(YEAR(JanDom1+20)=CalendárioAno,MONTH(JanDom1+20)=1),JanDom1+20,""))</f>
        <v>43120</v>
      </c>
      <c r="I28" s="3">
        <f>IF(DAY(JanDom1)=1,IF(AND(YEAR(JanDom1+14)=CalendárioAno,MONTH(JanDom1+14)=1),JanDom1+14,""),IF(AND(YEAR(JanDom1+21)=CalendárioAno,MONTH(JanDom1+21)=1),JanDom1+21,""))</f>
        <v>43121</v>
      </c>
      <c r="J28" s="11"/>
      <c r="K28" s="3"/>
      <c r="L28" s="3">
        <f>IF(DAY(FevDom1)=1,IF(AND(YEAR(FevDom1+8)=CalendárioAno,MONTH(FevDom1+8)=2),FevDom1+8,""),IF(AND(YEAR(FevDom1+15)=CalendárioAno,MONTH(FevDom1+15)=2),FevDom1+15,""))</f>
        <v>43143</v>
      </c>
      <c r="M28" s="3">
        <f>IF(DAY(FevDom1)=1,IF(AND(YEAR(FevDom1+9)=CalendárioAno,MONTH(FevDom1+9)=2),FevDom1+9,""),IF(AND(YEAR(FevDom1+16)=CalendárioAno,MONTH(FevDom1+16)=2),FevDom1+16,""))</f>
        <v>43144</v>
      </c>
      <c r="N28" s="3">
        <f>IF(DAY(FevDom1)=1,IF(AND(YEAR(FevDom1+10)=CalendárioAno,MONTH(FevDom1+10)=2),FevDom1+10,""),IF(AND(YEAR(FevDom1+17)=CalendárioAno,MONTH(FevDom1+17)=2),FevDom1+17,""))</f>
        <v>43145</v>
      </c>
      <c r="O28" s="3">
        <f>IF(DAY(FevDom1)=1,IF(AND(YEAR(FevDom1+11)=CalendárioAno,MONTH(FevDom1+11)=2),FevDom1+11,""),IF(AND(YEAR(FevDom1+18)=CalendárioAno,MONTH(FevDom1+18)=2),FevDom1+18,""))</f>
        <v>43146</v>
      </c>
      <c r="P28" s="3">
        <f>IF(DAY(FevDom1)=1,IF(AND(YEAR(FevDom1+12)=CalendárioAno,MONTH(FevDom1+12)=2),FevDom1+12,""),IF(AND(YEAR(FevDom1+19)=CalendárioAno,MONTH(FevDom1+19)=2),FevDom1+19,""))</f>
        <v>43147</v>
      </c>
      <c r="Q28" s="3">
        <f>IF(DAY(FevDom1)=1,IF(AND(YEAR(FevDom1+13)=CalendárioAno,MONTH(FevDom1+13)=2),FevDom1+13,""),IF(AND(YEAR(FevDom1+20)=CalendárioAno,MONTH(FevDom1+20)=2),FevDom1+20,""))</f>
        <v>43148</v>
      </c>
      <c r="R28" s="3">
        <f>IF(DAY(FevDom1)=1,IF(AND(YEAR(FevDom1+14)=CalendárioAno,MONTH(FevDom1+14)=2),FevDom1+14,""),IF(AND(YEAR(FevDom1+21)=CalendárioAno,MONTH(FevDom1+21)=2),FevDom1+21,""))</f>
        <v>43149</v>
      </c>
      <c r="S28" s="11"/>
      <c r="U28" s="3">
        <f>IF(DAY(MarDom1)=1,IF(AND(YEAR(MarDom1+8)=CalendárioAno,MONTH(MarDom1+8)=3),MarDom1+8,""),IF(AND(YEAR(MarDom1+15)=CalendárioAno,MONTH(MarDom1+15)=3),MarDom1+15,""))</f>
        <v>43171</v>
      </c>
      <c r="V28" s="3">
        <f>IF(DAY(MarDom1)=1,IF(AND(YEAR(MarDom1+9)=CalendárioAno,MONTH(MarDom1+9)=3),MarDom1+9,""),IF(AND(YEAR(MarDom1+16)=CalendárioAno,MONTH(MarDom1+16)=3),MarDom1+16,""))</f>
        <v>43172</v>
      </c>
      <c r="W28" s="3">
        <f>IF(DAY(MarDom1)=1,IF(AND(YEAR(MarDom1+10)=CalendárioAno,MONTH(MarDom1+10)=3),MarDom1+10,""),IF(AND(YEAR(MarDom1+17)=CalendárioAno,MONTH(MarDom1+17)=3),MarDom1+17,""))</f>
        <v>43173</v>
      </c>
      <c r="X28" s="3">
        <f>IF(DAY(MarDom1)=1,IF(AND(YEAR(MarDom1+11)=CalendárioAno,MONTH(MarDom1+11)=3),MarDom1+11,""),IF(AND(YEAR(MarDom1+18)=CalendárioAno,MONTH(MarDom1+18)=3),MarDom1+18,""))</f>
        <v>43174</v>
      </c>
      <c r="Y28" s="3">
        <f>IF(DAY(MarDom1)=1,IF(AND(YEAR(MarDom1+12)=CalendárioAno,MONTH(MarDom1+12)=3),MarDom1+12,""),IF(AND(YEAR(MarDom1+19)=CalendárioAno,MONTH(MarDom1+19)=3),MarDom1+19,""))</f>
        <v>43175</v>
      </c>
      <c r="Z28" s="3">
        <f>IF(DAY(MarDom1)=1,IF(AND(YEAR(MarDom1+13)=CalendárioAno,MONTH(MarDom1+13)=3),MarDom1+13,""),IF(AND(YEAR(MarDom1+20)=CalendárioAno,MONTH(MarDom1+20)=3),MarDom1+20,""))</f>
        <v>43176</v>
      </c>
      <c r="AA28" s="3">
        <f>IF(DAY(MarDom1)=1,IF(AND(YEAR(MarDom1+14)=CalendárioAno,MONTH(MarDom1+14)=3),MarDom1+14,""),IF(AND(YEAR(MarDom1+21)=CalendárioAno,MONTH(MarDom1+21)=3),MarDom1+21,""))</f>
        <v>43177</v>
      </c>
      <c r="AB28" s="11"/>
      <c r="AC28" s="3"/>
      <c r="AD28" s="3">
        <f>IF(DAY(AbrDom1)=1,IF(AND(YEAR(AbrDom1+8)=CalendárioAno,MONTH(AbrDom1+8)=4),AbrDom1+8,""),IF(AND(YEAR(AbrDom1+15)=CalendárioAno,MONTH(AbrDom1+15)=4),AbrDom1+15,""))</f>
        <v>43199</v>
      </c>
      <c r="AE28" s="3">
        <f>IF(DAY(AbrDom1)=1,IF(AND(YEAR(AbrDom1+9)=CalendárioAno,MONTH(AbrDom1+9)=4),AbrDom1+9,""),IF(AND(YEAR(AbrDom1+16)=CalendárioAno,MONTH(AbrDom1+16)=4),AbrDom1+16,""))</f>
        <v>43200</v>
      </c>
      <c r="AF28" s="3">
        <f>IF(DAY(AbrDom1)=1,IF(AND(YEAR(AbrDom1+10)=CalendárioAno,MONTH(AbrDom1+10)=4),AbrDom1+10,""),IF(AND(YEAR(AbrDom1+17)=CalendárioAno,MONTH(AbrDom1+17)=4),AbrDom1+17,""))</f>
        <v>43201</v>
      </c>
      <c r="AG28" s="3">
        <f>IF(DAY(AbrDom1)=1,IF(AND(YEAR(AbrDom1+11)=CalendárioAno,MONTH(AbrDom1+11)=4),AbrDom1+11,""),IF(AND(YEAR(AbrDom1+18)=CalendárioAno,MONTH(AbrDom1+18)=4),AbrDom1+18,""))</f>
        <v>43202</v>
      </c>
      <c r="AH28" s="3">
        <f>IF(DAY(AbrDom1)=1,IF(AND(YEAR(AbrDom1+12)=CalendárioAno,MONTH(AbrDom1+12)=4),AbrDom1+12,""),IF(AND(YEAR(AbrDom1+19)=CalendárioAno,MONTH(AbrDom1+19)=4),AbrDom1+19,""))</f>
        <v>43203</v>
      </c>
      <c r="AI28" s="3">
        <f>IF(DAY(AbrDom1)=1,IF(AND(YEAR(AbrDom1+13)=CalendárioAno,MONTH(AbrDom1+13)=4),AbrDom1+13,""),IF(AND(YEAR(AbrDom1+20)=CalendárioAno,MONTH(AbrDom1+20)=4),AbrDom1+20,""))</f>
        <v>43204</v>
      </c>
      <c r="AJ28" s="3">
        <f>IF(DAY(AbrDom1)=1,IF(AND(YEAR(AbrDom1+14)=CalendárioAno,MONTH(AbrDom1+14)=4),AbrDom1+14,""),IF(AND(YEAR(AbrDom1+21)=CalendárioAno,MONTH(AbrDom1+21)=4),AbrDom1+21,""))</f>
        <v>43205</v>
      </c>
    </row>
    <row r="29" spans="3:37" x14ac:dyDescent="0.2">
      <c r="C29" s="3">
        <f>IF(DAY(JanDom1)=1,IF(AND(YEAR(JanDom1+15)=CalendárioAno,MONTH(JanDom1+15)=1),JanDom1+15,""),IF(AND(YEAR(JanDom1+22)=CalendárioAno,MONTH(JanDom1+22)=1),JanDom1+22,""))</f>
        <v>43122</v>
      </c>
      <c r="D29" s="3">
        <f>IF(DAY(JanDom1)=1,IF(AND(YEAR(JanDom1+16)=CalendárioAno,MONTH(JanDom1+16)=1),JanDom1+16,""),IF(AND(YEAR(JanDom1+23)=CalendárioAno,MONTH(JanDom1+23)=1),JanDom1+23,""))</f>
        <v>43123</v>
      </c>
      <c r="E29" s="3">
        <f>IF(DAY(JanDom1)=1,IF(AND(YEAR(JanDom1+17)=CalendárioAno,MONTH(JanDom1+17)=1),JanDom1+17,""),IF(AND(YEAR(JanDom1+24)=CalendárioAno,MONTH(JanDom1+24)=1),JanDom1+24,""))</f>
        <v>43124</v>
      </c>
      <c r="F29" s="3">
        <f>IF(DAY(JanDom1)=1,IF(AND(YEAR(JanDom1+18)=CalendárioAno,MONTH(JanDom1+18)=1),JanDom1+18,""),IF(AND(YEAR(JanDom1+25)=CalendárioAno,MONTH(JanDom1+25)=1),JanDom1+25,""))</f>
        <v>43125</v>
      </c>
      <c r="G29" s="3">
        <f>IF(DAY(JanDom1)=1,IF(AND(YEAR(JanDom1+19)=CalendárioAno,MONTH(JanDom1+19)=1),JanDom1+19,""),IF(AND(YEAR(JanDom1+26)=CalendárioAno,MONTH(JanDom1+26)=1),JanDom1+26,""))</f>
        <v>43126</v>
      </c>
      <c r="H29" s="3">
        <f>IF(DAY(JanDom1)=1,IF(AND(YEAR(JanDom1+20)=CalendárioAno,MONTH(JanDom1+20)=1),JanDom1+20,""),IF(AND(YEAR(JanDom1+27)=CalendárioAno,MONTH(JanDom1+27)=1),JanDom1+27,""))</f>
        <v>43127</v>
      </c>
      <c r="I29" s="3">
        <f>IF(DAY(JanDom1)=1,IF(AND(YEAR(JanDom1+21)=CalendárioAno,MONTH(JanDom1+21)=1),JanDom1+21,""),IF(AND(YEAR(JanDom1+28)=CalendárioAno,MONTH(JanDom1+28)=1),JanDom1+28,""))</f>
        <v>43128</v>
      </c>
      <c r="J29" s="11"/>
      <c r="K29" s="3"/>
      <c r="L29" s="3">
        <f>IF(DAY(FevDom1)=1,IF(AND(YEAR(FevDom1+15)=CalendárioAno,MONTH(FevDom1+15)=2),FevDom1+15,""),IF(AND(YEAR(FevDom1+22)=CalendárioAno,MONTH(FevDom1+22)=2),FevDom1+22,""))</f>
        <v>43150</v>
      </c>
      <c r="M29" s="3">
        <f>IF(DAY(FevDom1)=1,IF(AND(YEAR(FevDom1+16)=CalendárioAno,MONTH(FevDom1+16)=2),FevDom1+16,""),IF(AND(YEAR(FevDom1+23)=CalendárioAno,MONTH(FevDom1+23)=2),FevDom1+23,""))</f>
        <v>43151</v>
      </c>
      <c r="N29" s="3">
        <f>IF(DAY(FevDom1)=1,IF(AND(YEAR(FevDom1+17)=CalendárioAno,MONTH(FevDom1+17)=2),FevDom1+17,""),IF(AND(YEAR(FevDom1+24)=CalendárioAno,MONTH(FevDom1+24)=2),FevDom1+24,""))</f>
        <v>43152</v>
      </c>
      <c r="O29" s="3">
        <f>IF(DAY(FevDom1)=1,IF(AND(YEAR(FevDom1+18)=CalendárioAno,MONTH(FevDom1+18)=2),FevDom1+18,""),IF(AND(YEAR(FevDom1+25)=CalendárioAno,MONTH(FevDom1+25)=2),FevDom1+25,""))</f>
        <v>43153</v>
      </c>
      <c r="P29" s="3">
        <f>IF(DAY(FevDom1)=1,IF(AND(YEAR(FevDom1+19)=CalendárioAno,MONTH(FevDom1+19)=2),FevDom1+19,""),IF(AND(YEAR(FevDom1+26)=CalendárioAno,MONTH(FevDom1+26)=2),FevDom1+26,""))</f>
        <v>43154</v>
      </c>
      <c r="Q29" s="3">
        <f>IF(DAY(FevDom1)=1,IF(AND(YEAR(FevDom1+20)=CalendárioAno,MONTH(FevDom1+20)=2),FevDom1+20,""),IF(AND(YEAR(FevDom1+27)=CalendárioAno,MONTH(FevDom1+27)=2),FevDom1+27,""))</f>
        <v>43155</v>
      </c>
      <c r="R29" s="3">
        <f>IF(DAY(FevDom1)=1,IF(AND(YEAR(FevDom1+21)=CalendárioAno,MONTH(FevDom1+21)=2),FevDom1+21,""),IF(AND(YEAR(FevDom1+28)=CalendárioAno,MONTH(FevDom1+28)=2),FevDom1+28,""))</f>
        <v>43156</v>
      </c>
      <c r="S29" s="11"/>
      <c r="U29" s="3">
        <f>IF(DAY(MarDom1)=1,IF(AND(YEAR(MarDom1+15)=CalendárioAno,MONTH(MarDom1+15)=3),MarDom1+15,""),IF(AND(YEAR(MarDom1+22)=CalendárioAno,MONTH(MarDom1+22)=3),MarDom1+22,""))</f>
        <v>43178</v>
      </c>
      <c r="V29" s="3">
        <f>IF(DAY(MarDom1)=1,IF(AND(YEAR(MarDom1+16)=CalendárioAno,MONTH(MarDom1+16)=3),MarDom1+16,""),IF(AND(YEAR(MarDom1+23)=CalendárioAno,MONTH(MarDom1+23)=3),MarDom1+23,""))</f>
        <v>43179</v>
      </c>
      <c r="W29" s="3">
        <f>IF(DAY(MarDom1)=1,IF(AND(YEAR(MarDom1+17)=CalendárioAno,MONTH(MarDom1+17)=3),MarDom1+17,""),IF(AND(YEAR(MarDom1+24)=CalendárioAno,MONTH(MarDom1+24)=3),MarDom1+24,""))</f>
        <v>43180</v>
      </c>
      <c r="X29" s="3">
        <f>IF(DAY(MarDom1)=1,IF(AND(YEAR(MarDom1+18)=CalendárioAno,MONTH(MarDom1+18)=3),MarDom1+18,""),IF(AND(YEAR(MarDom1+25)=CalendárioAno,MONTH(MarDom1+25)=3),MarDom1+25,""))</f>
        <v>43181</v>
      </c>
      <c r="Y29" s="3">
        <f>IF(DAY(MarDom1)=1,IF(AND(YEAR(MarDom1+19)=CalendárioAno,MONTH(MarDom1+19)=3),MarDom1+19,""),IF(AND(YEAR(MarDom1+26)=CalendárioAno,MONTH(MarDom1+26)=3),MarDom1+26,""))</f>
        <v>43182</v>
      </c>
      <c r="Z29" s="3">
        <f>IF(DAY(MarDom1)=1,IF(AND(YEAR(MarDom1+20)=CalendárioAno,MONTH(MarDom1+20)=3),MarDom1+20,""),IF(AND(YEAR(MarDom1+27)=CalendárioAno,MONTH(MarDom1+27)=3),MarDom1+27,""))</f>
        <v>43183</v>
      </c>
      <c r="AA29" s="3">
        <f>IF(DAY(MarDom1)=1,IF(AND(YEAR(MarDom1+21)=CalendárioAno,MONTH(MarDom1+21)=3),MarDom1+21,""),IF(AND(YEAR(MarDom1+28)=CalendárioAno,MONTH(MarDom1+28)=3),MarDom1+28,""))</f>
        <v>43184</v>
      </c>
      <c r="AB29" s="11"/>
      <c r="AC29" s="3"/>
      <c r="AD29" s="3">
        <f>IF(DAY(AbrDom1)=1,IF(AND(YEAR(AbrDom1+15)=CalendárioAno,MONTH(AbrDom1+15)=4),AbrDom1+15,""),IF(AND(YEAR(AbrDom1+22)=CalendárioAno,MONTH(AbrDom1+22)=4),AbrDom1+22,""))</f>
        <v>43206</v>
      </c>
      <c r="AE29" s="3">
        <f>IF(DAY(AbrDom1)=1,IF(AND(YEAR(AbrDom1+16)=CalendárioAno,MONTH(AbrDom1+16)=4),AbrDom1+16,""),IF(AND(YEAR(AbrDom1+23)=CalendárioAno,MONTH(AbrDom1+23)=4),AbrDom1+23,""))</f>
        <v>43207</v>
      </c>
      <c r="AF29" s="3">
        <f>IF(DAY(AbrDom1)=1,IF(AND(YEAR(AbrDom1+17)=CalendárioAno,MONTH(AbrDom1+17)=4),AbrDom1+17,""),IF(AND(YEAR(AbrDom1+24)=CalendárioAno,MONTH(AbrDom1+24)=4),AbrDom1+24,""))</f>
        <v>43208</v>
      </c>
      <c r="AG29" s="3">
        <f>IF(DAY(AbrDom1)=1,IF(AND(YEAR(AbrDom1+18)=CalendárioAno,MONTH(AbrDom1+18)=4),AbrDom1+18,""),IF(AND(YEAR(AbrDom1+25)=CalendárioAno,MONTH(AbrDom1+25)=4),AbrDom1+25,""))</f>
        <v>43209</v>
      </c>
      <c r="AH29" s="3">
        <f>IF(DAY(AbrDom1)=1,IF(AND(YEAR(AbrDom1+19)=CalendárioAno,MONTH(AbrDom1+19)=4),AbrDom1+19,""),IF(AND(YEAR(AbrDom1+26)=CalendárioAno,MONTH(AbrDom1+26)=4),AbrDom1+26,""))</f>
        <v>43210</v>
      </c>
      <c r="AI29" s="3">
        <f>IF(DAY(AbrDom1)=1,IF(AND(YEAR(AbrDom1+20)=CalendárioAno,MONTH(AbrDom1+20)=4),AbrDom1+20,""),IF(AND(YEAR(AbrDom1+27)=CalendárioAno,MONTH(AbrDom1+27)=4),AbrDom1+27,""))</f>
        <v>43211</v>
      </c>
      <c r="AJ29" s="3">
        <f>IF(DAY(AbrDom1)=1,IF(AND(YEAR(AbrDom1+21)=CalendárioAno,MONTH(AbrDom1+21)=4),AbrDom1+21,""),IF(AND(YEAR(AbrDom1+28)=CalendárioAno,MONTH(AbrDom1+28)=4),AbrDom1+28,""))</f>
        <v>43212</v>
      </c>
    </row>
    <row r="30" spans="3:37" x14ac:dyDescent="0.2">
      <c r="C30" s="3">
        <f>IF(DAY(JanDom1)=1,IF(AND(YEAR(JanDom1+22)=CalendárioAno,MONTH(JanDom1+22)=1),JanDom1+22,""),IF(AND(YEAR(JanDom1+29)=CalendárioAno,MONTH(JanDom1+29)=1),JanDom1+29,""))</f>
        <v>43129</v>
      </c>
      <c r="D30" s="3">
        <f>IF(DAY(JanDom1)=1,IF(AND(YEAR(JanDom1+23)=CalendárioAno,MONTH(JanDom1+23)=1),JanDom1+23,""),IF(AND(YEAR(JanDom1+30)=CalendárioAno,MONTH(JanDom1+30)=1),JanDom1+30,""))</f>
        <v>43130</v>
      </c>
      <c r="E30" s="3">
        <f>IF(DAY(JanDom1)=1,IF(AND(YEAR(JanDom1+24)=CalendárioAno,MONTH(JanDom1+24)=1),JanDom1+24,""),IF(AND(YEAR(JanDom1+31)=CalendárioAno,MONTH(JanDom1+31)=1),JanDom1+31,""))</f>
        <v>43131</v>
      </c>
      <c r="F30" s="3" t="str">
        <f>IF(DAY(JanDom1)=1,IF(AND(YEAR(JanDom1+25)=CalendárioAno,MONTH(JanDom1+25)=1),JanDom1+25,""),IF(AND(YEAR(JanDom1+32)=CalendárioAno,MONTH(JanDom1+32)=1),JanDom1+32,""))</f>
        <v/>
      </c>
      <c r="G30" s="3" t="str">
        <f>IF(DAY(JanDom1)=1,IF(AND(YEAR(JanDom1+26)=CalendárioAno,MONTH(JanDom1+26)=1),JanDom1+26,""),IF(AND(YEAR(JanDom1+33)=CalendárioAno,MONTH(JanDom1+33)=1),JanDom1+33,""))</f>
        <v/>
      </c>
      <c r="H30" s="3" t="str">
        <f>IF(DAY(JanDom1)=1,IF(AND(YEAR(JanDom1+27)=CalendárioAno,MONTH(JanDom1+27)=1),JanDom1+27,""),IF(AND(YEAR(JanDom1+34)=CalendárioAno,MONTH(JanDom1+34)=1),JanDom1+34,""))</f>
        <v/>
      </c>
      <c r="I30" s="3" t="str">
        <f>IF(DAY(JanDom1)=1,IF(AND(YEAR(JanDom1+28)=CalendárioAno,MONTH(JanDom1+28)=1),JanDom1+28,""),IF(AND(YEAR(JanDom1+35)=CalendárioAno,MONTH(JanDom1+35)=1),JanDom1+35,""))</f>
        <v/>
      </c>
      <c r="J30" s="11"/>
      <c r="K30" s="3"/>
      <c r="L30" s="3">
        <f>IF(DAY(FevDom1)=1,IF(AND(YEAR(FevDom1+22)=CalendárioAno,MONTH(FevDom1+22)=2),FevDom1+22,""),IF(AND(YEAR(FevDom1+29)=CalendárioAno,MONTH(FevDom1+29)=2),FevDom1+29,""))</f>
        <v>43157</v>
      </c>
      <c r="M30" s="3">
        <f>IF(DAY(FevDom1)=1,IF(AND(YEAR(FevDom1+23)=CalendárioAno,MONTH(FevDom1+23)=2),FevDom1+23,""),IF(AND(YEAR(FevDom1+30)=CalendárioAno,MONTH(FevDom1+30)=2),FevDom1+30,""))</f>
        <v>43158</v>
      </c>
      <c r="N30" s="3">
        <f>IF(DAY(FevDom1)=1,IF(AND(YEAR(FevDom1+24)=CalendárioAno,MONTH(FevDom1+24)=2),FevDom1+24,""),IF(AND(YEAR(FevDom1+31)=CalendárioAno,MONTH(FevDom1+31)=2),FevDom1+31,""))</f>
        <v>43159</v>
      </c>
      <c r="O30" s="3" t="str">
        <f>IF(DAY(FevDom1)=1,IF(AND(YEAR(FevDom1+25)=CalendárioAno,MONTH(FevDom1+25)=2),FevDom1+25,""),IF(AND(YEAR(FevDom1+32)=CalendárioAno,MONTH(FevDom1+32)=2),FevDom1+32,""))</f>
        <v/>
      </c>
      <c r="P30" s="3" t="str">
        <f>IF(DAY(FevDom1)=1,IF(AND(YEAR(FevDom1+26)=CalendárioAno,MONTH(FevDom1+26)=2),FevDom1+26,""),IF(AND(YEAR(FevDom1+33)=CalendárioAno,MONTH(FevDom1+33)=2),FevDom1+33,""))</f>
        <v/>
      </c>
      <c r="Q30" s="3" t="str">
        <f>IF(DAY(FevDom1)=1,IF(AND(YEAR(FevDom1+27)=CalendárioAno,MONTH(FevDom1+27)=2),FevDom1+27,""),IF(AND(YEAR(FevDom1+34)=CalendárioAno,MONTH(FevDom1+34)=2),FevDom1+34,""))</f>
        <v/>
      </c>
      <c r="R30" s="3" t="str">
        <f>IF(DAY(FevDom1)=1,IF(AND(YEAR(FevDom1+28)=CalendárioAno,MONTH(FevDom1+28)=2),FevDom1+28,""),IF(AND(YEAR(FevDom1+35)=CalendárioAno,MONTH(FevDom1+35)=2),FevDom1+35,""))</f>
        <v/>
      </c>
      <c r="S30" s="11"/>
      <c r="U30" s="3">
        <f>IF(DAY(MarDom1)=1,IF(AND(YEAR(MarDom1+22)=CalendárioAno,MONTH(MarDom1+22)=3),MarDom1+22,""),IF(AND(YEAR(MarDom1+29)=CalendárioAno,MONTH(MarDom1+29)=3),MarDom1+29,""))</f>
        <v>43185</v>
      </c>
      <c r="V30" s="3">
        <f>IF(DAY(MarDom1)=1,IF(AND(YEAR(MarDom1+23)=CalendárioAno,MONTH(MarDom1+23)=3),MarDom1+23,""),IF(AND(YEAR(MarDom1+30)=CalendárioAno,MONTH(MarDom1+30)=3),MarDom1+30,""))</f>
        <v>43186</v>
      </c>
      <c r="W30" s="3">
        <f>IF(DAY(MarDom1)=1,IF(AND(YEAR(MarDom1+24)=CalendárioAno,MONTH(MarDom1+24)=3),MarDom1+24,""),IF(AND(YEAR(MarDom1+31)=CalendárioAno,MONTH(MarDom1+31)=3),MarDom1+31,""))</f>
        <v>43187</v>
      </c>
      <c r="X30" s="3">
        <f>IF(DAY(MarDom1)=1,IF(AND(YEAR(MarDom1+25)=CalendárioAno,MONTH(MarDom1+25)=3),MarDom1+25,""),IF(AND(YEAR(MarDom1+32)=CalendárioAno,MONTH(MarDom1+32)=3),MarDom1+32,""))</f>
        <v>43188</v>
      </c>
      <c r="Y30" s="3">
        <f>IF(DAY(MarDom1)=1,IF(AND(YEAR(MarDom1+26)=CalendárioAno,MONTH(MarDom1+26)=3),MarDom1+26,""),IF(AND(YEAR(MarDom1+33)=CalendárioAno,MONTH(MarDom1+33)=3),MarDom1+33,""))</f>
        <v>43189</v>
      </c>
      <c r="Z30" s="3">
        <f>IF(DAY(MarDom1)=1,IF(AND(YEAR(MarDom1+27)=CalendárioAno,MONTH(MarDom1+27)=3),MarDom1+27,""),IF(AND(YEAR(MarDom1+34)=CalendárioAno,MONTH(MarDom1+34)=3),MarDom1+34,""))</f>
        <v>43190</v>
      </c>
      <c r="AA30" s="3" t="str">
        <f>IF(DAY(MarDom1)=1,IF(AND(YEAR(MarDom1+28)=CalendárioAno,MONTH(MarDom1+28)=3),MarDom1+28,""),IF(AND(YEAR(MarDom1+35)=CalendárioAno,MONTH(MarDom1+35)=3),MarDom1+35,""))</f>
        <v/>
      </c>
      <c r="AB30" s="11"/>
      <c r="AC30" s="3"/>
      <c r="AD30" s="3">
        <f>IF(DAY(AbrDom1)=1,IF(AND(YEAR(AbrDom1+22)=CalendárioAno,MONTH(AbrDom1+22)=4),AbrDom1+22,""),IF(AND(YEAR(AbrDom1+29)=CalendárioAno,MONTH(AbrDom1+29)=4),AbrDom1+29,""))</f>
        <v>43213</v>
      </c>
      <c r="AE30" s="3">
        <f>IF(DAY(AbrDom1)=1,IF(AND(YEAR(AbrDom1+23)=CalendárioAno,MONTH(AbrDom1+23)=4),AbrDom1+23,""),IF(AND(YEAR(AbrDom1+30)=CalendárioAno,MONTH(AbrDom1+30)=4),AbrDom1+30,""))</f>
        <v>43214</v>
      </c>
      <c r="AF30" s="3">
        <f>IF(DAY(AbrDom1)=1,IF(AND(YEAR(AbrDom1+24)=CalendárioAno,MONTH(AbrDom1+24)=4),AbrDom1+24,""),IF(AND(YEAR(AbrDom1+31)=CalendárioAno,MONTH(AbrDom1+31)=4),AbrDom1+31,""))</f>
        <v>43215</v>
      </c>
      <c r="AG30" s="3">
        <f>IF(DAY(AbrDom1)=1,IF(AND(YEAR(AbrDom1+25)=CalendárioAno,MONTH(AbrDom1+25)=4),AbrDom1+25,""),IF(AND(YEAR(AbrDom1+32)=CalendárioAno,MONTH(AbrDom1+32)=4),AbrDom1+32,""))</f>
        <v>43216</v>
      </c>
      <c r="AH30" s="3">
        <f>IF(DAY(AbrDom1)=1,IF(AND(YEAR(AbrDom1+26)=CalendárioAno,MONTH(AbrDom1+26)=4),AbrDom1+26,""),IF(AND(YEAR(AbrDom1+33)=CalendárioAno,MONTH(AbrDom1+33)=4),AbrDom1+33,""))</f>
        <v>43217</v>
      </c>
      <c r="AI30" s="3">
        <f>IF(DAY(AbrDom1)=1,IF(AND(YEAR(AbrDom1+27)=CalendárioAno,MONTH(AbrDom1+27)=4),AbrDom1+27,""),IF(AND(YEAR(AbrDom1+34)=CalendárioAno,MONTH(AbrDom1+34)=4),AbrDom1+34,""))</f>
        <v>43218</v>
      </c>
      <c r="AJ30" s="3">
        <f>IF(DAY(AbrDom1)=1,IF(AND(YEAR(AbrDom1+28)=CalendárioAno,MONTH(AbrDom1+28)=4),AbrDom1+28,""),IF(AND(YEAR(AbrDom1+35)=CalendárioAno,MONTH(AbrDom1+35)=4),AbrDom1+35,""))</f>
        <v>43219</v>
      </c>
    </row>
    <row r="31" spans="3:37" x14ac:dyDescent="0.2">
      <c r="C31" s="3" t="str">
        <f>IF(DAY(JanDom1)=1,IF(AND(YEAR(JanDom1+29)=CalendárioAno,MONTH(JanDom1+29)=1),JanDom1+29,""),IF(AND(YEAR(JanDom1+36)=CalendárioAno,MONTH(JanDom1+36)=1),JanDom1+36,""))</f>
        <v/>
      </c>
      <c r="D31" s="3" t="str">
        <f>IF(DAY(JanDom1)=1,IF(AND(YEAR(JanDom1+30)=CalendárioAno,MONTH(JanDom1+30)=1),JanDom1+30,""),IF(AND(YEAR(JanDom1+37)=CalendárioAno,MONTH(JanDom1+37)=1),JanDom1+37,""))</f>
        <v/>
      </c>
      <c r="E31" s="3" t="str">
        <f>IF(DAY(JanDom1)=1,IF(AND(YEAR(JanDom1+31)=CalendárioAno,MONTH(JanDom1+31)=1),JanDom1+31,""),IF(AND(YEAR(JanDom1+38)=CalendárioAno,MONTH(JanDom1+38)=1),JanDom1+38,""))</f>
        <v/>
      </c>
      <c r="F31" s="3" t="str">
        <f>IF(DAY(JanDom1)=1,IF(AND(YEAR(JanDom1+32)=CalendárioAno,MONTH(JanDom1+32)=1),JanDom1+32,""),IF(AND(YEAR(JanDom1+39)=CalendárioAno,MONTH(JanDom1+39)=1),JanDom1+39,""))</f>
        <v/>
      </c>
      <c r="G31" s="3" t="str">
        <f>IF(DAY(JanDom1)=1,IF(AND(YEAR(JanDom1+33)=CalendárioAno,MONTH(JanDom1+33)=1),JanDom1+33,""),IF(AND(YEAR(JanDom1+40)=CalendárioAno,MONTH(JanDom1+40)=1),JanDom1+40,""))</f>
        <v/>
      </c>
      <c r="H31" s="3" t="str">
        <f>IF(DAY(JanDom1)=1,IF(AND(YEAR(JanDom1+34)=CalendárioAno,MONTH(JanDom1+34)=1),JanDom1+34,""),IF(AND(YEAR(JanDom1+41)=CalendárioAno,MONTH(JanDom1+41)=1),JanDom1+41,""))</f>
        <v/>
      </c>
      <c r="I31" s="3" t="str">
        <f>IF(DAY(JanDom1)=1,IF(AND(YEAR(JanDom1+35)=CalendárioAno,MONTH(JanDom1+35)=1),JanDom1+35,""),IF(AND(YEAR(JanDom1+42)=CalendárioAno,MONTH(JanDom1+42)=1),JanDom1+42,""))</f>
        <v/>
      </c>
      <c r="J31" s="11"/>
      <c r="K31" s="3"/>
      <c r="L31" s="3" t="str">
        <f>IF(DAY(FevDom1)=1,IF(AND(YEAR(FevDom1+29)=CalendárioAno,MONTH(FevDom1+29)=2),FevDom1+29,""),IF(AND(YEAR(FevDom1+36)=CalendárioAno,MONTH(FevDom1+36)=2),FevDom1+36,""))</f>
        <v/>
      </c>
      <c r="M31" s="3" t="str">
        <f>IF(DAY(FevDom1)=1,IF(AND(YEAR(FevDom1+30)=CalendárioAno,MONTH(FevDom1+30)=2),FevDom1+30,""),IF(AND(YEAR(FevDom1+37)=CalendárioAno,MONTH(FevDom1+37)=2),FevDom1+37,""))</f>
        <v/>
      </c>
      <c r="N31" s="3" t="str">
        <f>IF(DAY(FevDom1)=1,IF(AND(YEAR(FevDom1+31)=CalendárioAno,MONTH(FevDom1+31)=2),FevDom1+31,""),IF(AND(YEAR(FevDom1+38)=CalendárioAno,MONTH(FevDom1+38)=2),FevDom1+38,""))</f>
        <v/>
      </c>
      <c r="O31" s="3" t="str">
        <f>IF(DAY(FevDom1)=1,IF(AND(YEAR(FevDom1+32)=CalendárioAno,MONTH(FevDom1+32)=2),FevDom1+32,""),IF(AND(YEAR(FevDom1+39)=CalendárioAno,MONTH(FevDom1+39)=2),FevDom1+39,""))</f>
        <v/>
      </c>
      <c r="P31" s="3" t="str">
        <f>IF(DAY(FevDom1)=1,IF(AND(YEAR(FevDom1+33)=CalendárioAno,MONTH(FevDom1+33)=2),FevDom1+33,""),IF(AND(YEAR(FevDom1+40)=CalendárioAno,MONTH(FevDom1+40)=2),FevDom1+40,""))</f>
        <v/>
      </c>
      <c r="Q31" s="3" t="str">
        <f>IF(DAY(FevDom1)=1,IF(AND(YEAR(FevDom1+34)=CalendárioAno,MONTH(FevDom1+34)=2),FevDom1+34,""),IF(AND(YEAR(FevDom1+41)=CalendárioAno,MONTH(FevDom1+41)=2),FevDom1+41,""))</f>
        <v/>
      </c>
      <c r="R31" s="3" t="str">
        <f>IF(DAY(FevDom1)=1,IF(AND(YEAR(FevDom1+35)=CalendárioAno,MONTH(FevDom1+35)=2),FevDom1+35,""),IF(AND(YEAR(FevDom1+42)=CalendárioAno,MONTH(FevDom1+42)=2),FevDom1+42,""))</f>
        <v/>
      </c>
      <c r="S31" s="11"/>
      <c r="U31" s="3" t="str">
        <f>IF(DAY(MarDom1)=1,IF(AND(YEAR(MarDom1+29)=CalendárioAno,MONTH(MarDom1+29)=3),MarDom1+29,""),IF(AND(YEAR(MarDom1+36)=CalendárioAno,MONTH(MarDom1+36)=3),MarDom1+36,""))</f>
        <v/>
      </c>
      <c r="V31" s="3" t="str">
        <f>IF(DAY(MarDom1)=1,IF(AND(YEAR(MarDom1+30)=CalendárioAno,MONTH(MarDom1+30)=3),MarDom1+30,""),IF(AND(YEAR(MarDom1+37)=CalendárioAno,MONTH(MarDom1+37)=3),MarDom1+37,""))</f>
        <v/>
      </c>
      <c r="W31" s="3" t="str">
        <f>IF(DAY(MarDom1)=1,IF(AND(YEAR(MarDom1+31)=CalendárioAno,MONTH(MarDom1+31)=3),MarDom1+31,""),IF(AND(YEAR(MarDom1+38)=CalendárioAno,MONTH(MarDom1+38)=3),MarDom1+38,""))</f>
        <v/>
      </c>
      <c r="X31" s="3" t="str">
        <f>IF(DAY(MarDom1)=1,IF(AND(YEAR(MarDom1+32)=CalendárioAno,MONTH(MarDom1+32)=3),MarDom1+32,""),IF(AND(YEAR(MarDom1+39)=CalendárioAno,MONTH(MarDom1+39)=3),MarDom1+39,""))</f>
        <v/>
      </c>
      <c r="Y31" s="3" t="str">
        <f>IF(DAY(MarDom1)=1,IF(AND(YEAR(MarDom1+33)=CalendárioAno,MONTH(MarDom1+33)=3),MarDom1+33,""),IF(AND(YEAR(MarDom1+40)=CalendárioAno,MONTH(MarDom1+40)=3),MarDom1+40,""))</f>
        <v/>
      </c>
      <c r="Z31" s="3" t="str">
        <f>IF(DAY(MarDom1)=1,IF(AND(YEAR(MarDom1+34)=CalendárioAno,MONTH(MarDom1+34)=3),MarDom1+34,""),IF(AND(YEAR(MarDom1+41)=CalendárioAno,MONTH(MarDom1+41)=3),MarDom1+41,""))</f>
        <v/>
      </c>
      <c r="AA31" s="3" t="str">
        <f>IF(DAY(MarDom1)=1,IF(AND(YEAR(MarDom1+35)=CalendárioAno,MONTH(MarDom1+35)=3),MarDom1+35,""),IF(AND(YEAR(MarDom1+42)=CalendárioAno,MONTH(MarDom1+42)=3),MarDom1+42,""))</f>
        <v/>
      </c>
      <c r="AB31" s="11"/>
      <c r="AC31" s="3"/>
      <c r="AD31" s="3">
        <f>IF(DAY(AbrDom1)=1,IF(AND(YEAR(AbrDom1+29)=CalendárioAno,MONTH(AbrDom1+29)=4),AbrDom1+29,""),IF(AND(YEAR(AbrDom1+36)=CalendárioAno,MONTH(AbrDom1+36)=4),AbrDom1+36,""))</f>
        <v>43220</v>
      </c>
      <c r="AE31" s="3" t="str">
        <f>IF(DAY(AbrDom1)=1,IF(AND(YEAR(AbrDom1+30)=CalendárioAno,MONTH(AbrDom1+30)=4),AbrDom1+30,""),IF(AND(YEAR(AbrDom1+37)=CalendárioAno,MONTH(AbrDom1+37)=4),AbrDom1+37,""))</f>
        <v/>
      </c>
      <c r="AF31" s="3" t="str">
        <f>IF(DAY(AbrDom1)=1,IF(AND(YEAR(AbrDom1+31)=CalendárioAno,MONTH(AbrDom1+31)=4),AbrDom1+31,""),IF(AND(YEAR(AbrDom1+38)=CalendárioAno,MONTH(AbrDom1+38)=4),AbrDom1+38,""))</f>
        <v/>
      </c>
      <c r="AG31" s="3" t="str">
        <f>IF(DAY(AbrDom1)=1,IF(AND(YEAR(AbrDom1+32)=CalendárioAno,MONTH(AbrDom1+32)=4),AbrDom1+32,""),IF(AND(YEAR(AbrDom1+39)=CalendárioAno,MONTH(AbrDom1+39)=4),AbrDom1+39,""))</f>
        <v/>
      </c>
      <c r="AH31" s="3" t="str">
        <f>IF(DAY(AbrDom1)=1,IF(AND(YEAR(AbrDom1+33)=CalendárioAno,MONTH(AbrDom1+33)=4),AbrDom1+33,""),IF(AND(YEAR(AbrDom1+40)=CalendárioAno,MONTH(AbrDom1+40)=4),AbrDom1+40,""))</f>
        <v/>
      </c>
      <c r="AI31" s="3" t="str">
        <f>IF(DAY(AbrDom1)=1,IF(AND(YEAR(AbrDom1+34)=CalendárioAno,MONTH(AbrDom1+34)=4),AbrDom1+34,""),IF(AND(YEAR(AbrDom1+41)=CalendárioAno,MONTH(AbrDom1+41)=4),AbrDom1+41,""))</f>
        <v/>
      </c>
      <c r="AJ31" s="3" t="str">
        <f>IF(DAY(AbrDom1)=1,IF(AND(YEAR(AbrDom1+35)=CalendárioAno,MONTH(AbrDom1+35)=4),AbrDom1+35,""),IF(AND(YEAR(AbrDom1+42)=CalendárioAno,MONTH(AbrDom1+42)=4),AbrDom1+42,""))</f>
        <v/>
      </c>
    </row>
    <row r="32" spans="3:37" x14ac:dyDescent="0.2">
      <c r="C32" s="3"/>
      <c r="D32" s="3"/>
      <c r="E32" s="3"/>
      <c r="F32" s="3"/>
      <c r="G32" s="3"/>
      <c r="H32" s="3"/>
      <c r="I32" s="3"/>
      <c r="J32" s="11"/>
      <c r="K32" s="3"/>
      <c r="L32" s="3"/>
      <c r="M32" s="3"/>
      <c r="N32" s="3"/>
      <c r="O32" s="3"/>
      <c r="P32" s="3"/>
      <c r="Q32" s="3"/>
      <c r="R32" s="3"/>
      <c r="S32" s="11"/>
      <c r="AB32" s="13"/>
    </row>
    <row r="33" spans="3:36" ht="15.75" x14ac:dyDescent="0.25">
      <c r="C33" s="37">
        <f>DATE(CalendárioAno,5,1)</f>
        <v>43221</v>
      </c>
      <c r="D33" s="37"/>
      <c r="E33" s="37"/>
      <c r="F33" s="37"/>
      <c r="G33" s="37"/>
      <c r="H33" s="37"/>
      <c r="I33" s="37"/>
      <c r="J33" s="9"/>
      <c r="K33" s="3"/>
      <c r="L33" s="37">
        <f>DATE(CalendárioAno,6,1)</f>
        <v>43252</v>
      </c>
      <c r="M33" s="37"/>
      <c r="N33" s="37"/>
      <c r="O33" s="37"/>
      <c r="P33" s="37"/>
      <c r="Q33" s="37"/>
      <c r="R33" s="37"/>
      <c r="S33" s="9"/>
      <c r="U33" s="37">
        <f>DATE(CalendárioAno,7,1)</f>
        <v>43282</v>
      </c>
      <c r="V33" s="37"/>
      <c r="W33" s="37"/>
      <c r="X33" s="37"/>
      <c r="Y33" s="37"/>
      <c r="Z33" s="37"/>
      <c r="AA33" s="37"/>
      <c r="AB33" s="9"/>
      <c r="AC33" s="3"/>
      <c r="AD33" s="37">
        <f>DATE(CalendárioAno,8,1)</f>
        <v>43313</v>
      </c>
      <c r="AE33" s="37"/>
      <c r="AF33" s="37"/>
      <c r="AG33" s="37"/>
      <c r="AH33" s="37"/>
      <c r="AI33" s="37"/>
      <c r="AJ33" s="37"/>
    </row>
    <row r="34" spans="3:36" ht="15" x14ac:dyDescent="0.25">
      <c r="C34" s="8" t="s">
        <v>0</v>
      </c>
      <c r="D34" s="8" t="s">
        <v>1</v>
      </c>
      <c r="E34" s="8" t="s">
        <v>3</v>
      </c>
      <c r="F34" s="8" t="s">
        <v>3</v>
      </c>
      <c r="G34" s="8" t="s">
        <v>0</v>
      </c>
      <c r="H34" s="8" t="s">
        <v>0</v>
      </c>
      <c r="I34" s="8" t="s">
        <v>4</v>
      </c>
      <c r="J34" s="10"/>
      <c r="K34" s="4"/>
      <c r="L34" s="8" t="s">
        <v>0</v>
      </c>
      <c r="M34" s="8" t="s">
        <v>1</v>
      </c>
      <c r="N34" s="8" t="s">
        <v>3</v>
      </c>
      <c r="O34" s="8" t="s">
        <v>3</v>
      </c>
      <c r="P34" s="8" t="s">
        <v>0</v>
      </c>
      <c r="Q34" s="8" t="s">
        <v>0</v>
      </c>
      <c r="R34" s="8" t="s">
        <v>4</v>
      </c>
      <c r="S34" s="10"/>
      <c r="U34" s="8" t="s">
        <v>0</v>
      </c>
      <c r="V34" s="8" t="s">
        <v>1</v>
      </c>
      <c r="W34" s="8" t="s">
        <v>3</v>
      </c>
      <c r="X34" s="8" t="s">
        <v>3</v>
      </c>
      <c r="Y34" s="8" t="s">
        <v>0</v>
      </c>
      <c r="Z34" s="8" t="s">
        <v>0</v>
      </c>
      <c r="AA34" s="8" t="s">
        <v>4</v>
      </c>
      <c r="AB34" s="10"/>
      <c r="AC34" s="3"/>
      <c r="AD34" s="8" t="s">
        <v>0</v>
      </c>
      <c r="AE34" s="8" t="s">
        <v>1</v>
      </c>
      <c r="AF34" s="8" t="s">
        <v>3</v>
      </c>
      <c r="AG34" s="8" t="s">
        <v>3</v>
      </c>
      <c r="AH34" s="8" t="s">
        <v>0</v>
      </c>
      <c r="AI34" s="8" t="s">
        <v>0</v>
      </c>
      <c r="AJ34" s="8" t="s">
        <v>4</v>
      </c>
    </row>
    <row r="35" spans="3:36" ht="15.75" x14ac:dyDescent="0.25">
      <c r="C35" s="3" t="str">
        <f>IF(DAY(MaiDom1)=1,"",IF(AND(YEAR(MaiDom1+1)=CalendárioAno,MONTH(MaiDom1+1)=5),MaiDom1+1,""))</f>
        <v/>
      </c>
      <c r="D35" s="3">
        <f>IF(DAY(MaiDom1)=1,"",IF(AND(YEAR(MaiDom1+2)=CalendárioAno,MONTH(MaiDom1+2)=5),MaiDom1+2,""))</f>
        <v>43221</v>
      </c>
      <c r="E35" s="3">
        <f>IF(DAY(MaiDom1)=1,"",IF(AND(YEAR(MaiDom1+3)=CalendárioAno,MONTH(MaiDom1+3)=5),MaiDom1+3,""))</f>
        <v>43222</v>
      </c>
      <c r="F35" s="3">
        <f>IF(DAY(MaiDom1)=1,"",IF(AND(YEAR(MaiDom1+4)=CalendárioAno,MONTH(MaiDom1+4)=5),MaiDom1+4,""))</f>
        <v>43223</v>
      </c>
      <c r="G35" s="3">
        <f>IF(DAY(MaiDom1)=1,"",IF(AND(YEAR(MaiDom1+5)=CalendárioAno,MONTH(MaiDom1+5)=5),MaiDom1+5,""))</f>
        <v>43224</v>
      </c>
      <c r="H35" s="3">
        <f>IF(DAY(MaiDom1)=1,"",IF(AND(YEAR(MaiDom1+6)=CalendárioAno,MONTH(MaiDom1+6)=5),MaiDom1+6,""))</f>
        <v>43225</v>
      </c>
      <c r="I35" s="3">
        <f>IF(DAY(MaiDom1)=1,IF(AND(YEAR(MaiDom1)=CalendárioAno,MONTH(MaiDom1)=5),MaiDom1,""),IF(AND(YEAR(MaiDom1+7)=CalendárioAno,MONTH(MaiDom1+7)=5),MaiDom1+7,""))</f>
        <v>43226</v>
      </c>
      <c r="J35" s="11"/>
      <c r="K35" s="1"/>
      <c r="L35" s="3" t="str">
        <f>IF(DAY(JunDom1)=1,"",IF(AND(YEAR(JunDom1+1)=CalendárioAno,MONTH(JunDom1+1)=6),JunDom1+1,""))</f>
        <v/>
      </c>
      <c r="M35" s="19" t="str">
        <f>IF(DAY(JunDom1)=1,"",IF(AND(YEAR(JunDom1+2)=CalendárioAno,MONTH(JunDom1+2)=6),JunDom1+2,""))</f>
        <v/>
      </c>
      <c r="N35" s="3" t="str">
        <f>IF(DAY(JunDom1)=1,"",IF(AND(YEAR(JunDom1+3)=CalendárioAno,MONTH(JunDom1+3)=6),JunDom1+3,""))</f>
        <v/>
      </c>
      <c r="O35" s="3" t="str">
        <f>IF(DAY(JunDom1)=1,"",IF(AND(YEAR(JunDom1+4)=CalendárioAno,MONTH(JunDom1+4)=6),JunDom1+4,""))</f>
        <v/>
      </c>
      <c r="P35" s="3">
        <f>IF(DAY(JunDom1)=1,"",IF(AND(YEAR(JunDom1+5)=CalendárioAno,MONTH(JunDom1+5)=6),JunDom1+5,""))</f>
        <v>43252</v>
      </c>
      <c r="Q35" s="3">
        <f>IF(DAY(JunDom1)=1,"",IF(AND(YEAR(JunDom1+6)=CalendárioAno,MONTH(JunDom1+6)=6),JunDom1+6,""))</f>
        <v>43253</v>
      </c>
      <c r="R35" s="3">
        <f>IF(DAY(JunDom1)=1,IF(AND(YEAR(JunDom1)=CalendárioAno,MONTH(JunDom1)=6),JunDom1,""),IF(AND(YEAR(JunDom1+7)=CalendárioAno,MONTH(JunDom1+7)=6),JunDom1+7,""))</f>
        <v>43254</v>
      </c>
      <c r="S35" s="11"/>
      <c r="U35" s="3" t="str">
        <f>IF(DAY(JulDom1)=1,"",IF(AND(YEAR(JulDom1+1)=CalendárioAno,MONTH(JulDom1+1)=7),JulDom1+1,""))</f>
        <v/>
      </c>
      <c r="V35" s="3" t="str">
        <f>IF(DAY(JulDom1)=1,"",IF(AND(YEAR(JulDom1+2)=CalendárioAno,MONTH(JulDom1+2)=7),JulDom1+2,""))</f>
        <v/>
      </c>
      <c r="W35" s="3" t="str">
        <f>IF(DAY(JulDom1)=1,"",IF(AND(YEAR(JulDom1+3)=CalendárioAno,MONTH(JulDom1+3)=7),JulDom1+3,""))</f>
        <v/>
      </c>
      <c r="X35" s="3" t="str">
        <f>IF(DAY(JulDom1)=1,"",IF(AND(YEAR(JulDom1+4)=CalendárioAno,MONTH(JulDom1+4)=7),JulDom1+4,""))</f>
        <v/>
      </c>
      <c r="Y35" s="3" t="str">
        <f>IF(DAY(JulDom1)=1,"",IF(AND(YEAR(JulDom1+5)=CalendárioAno,MONTH(JulDom1+5)=7),JulDom1+5,""))</f>
        <v/>
      </c>
      <c r="Z35" s="3" t="str">
        <f>IF(DAY(JulDom1)=1,"",IF(AND(YEAR(JulDom1+6)=CalendárioAno,MONTH(JulDom1+6)=7),JulDom1+6,""))</f>
        <v/>
      </c>
      <c r="AA35" s="3">
        <f>IF(DAY(JulDom1)=1,IF(AND(YEAR(JulDom1)=CalendárioAno,MONTH(JulDom1)=7),JulDom1,""),IF(AND(YEAR(JulDom1+7)=CalendárioAno,MONTH(JulDom1+7)=7),JulDom1+7,""))</f>
        <v>43282</v>
      </c>
      <c r="AB35" s="11"/>
      <c r="AC35" s="6"/>
      <c r="AD35" s="3" t="str">
        <f>IF(DAY(AgoDom1)=1,"",IF(AND(YEAR(AgoDom1+1)=CalendárioAno,MONTH(AgoDom1+1)=8),AgoDom1+1,""))</f>
        <v/>
      </c>
      <c r="AE35" s="3" t="str">
        <f>IF(DAY(AgoDom1)=1,"",IF(AND(YEAR(AgoDom1+2)=CalendárioAno,MONTH(AgoDom1+2)=8),AgoDom1+2,""))</f>
        <v/>
      </c>
      <c r="AF35" s="3">
        <f>IF(DAY(AgoDom1)=1,"",IF(AND(YEAR(AgoDom1+3)=CalendárioAno,MONTH(AgoDom1+3)=8),AgoDom1+3,""))</f>
        <v>43313</v>
      </c>
      <c r="AG35" s="3">
        <f>IF(DAY(AgoDom1)=1,"",IF(AND(YEAR(AgoDom1+4)=CalendárioAno,MONTH(AgoDom1+4)=8),AgoDom1+4,""))</f>
        <v>43314</v>
      </c>
      <c r="AH35" s="3">
        <f>IF(DAY(AgoDom1)=1,"",IF(AND(YEAR(AgoDom1+5)=CalendárioAno,MONTH(AgoDom1+5)=8),AgoDom1+5,""))</f>
        <v>43315</v>
      </c>
      <c r="AI35" s="3">
        <f>IF(DAY(AgoDom1)=1,"",IF(AND(YEAR(AgoDom1+6)=CalendárioAno,MONTH(AgoDom1+6)=8),AgoDom1+6,""))</f>
        <v>43316</v>
      </c>
      <c r="AJ35" s="3">
        <f>IF(DAY(AgoDom1)=1,IF(AND(YEAR(AgoDom1)=CalendárioAno,MONTH(AgoDom1)=8),AgoDom1,""),IF(AND(YEAR(AgoDom1+7)=CalendárioAno,MONTH(AgoDom1+7)=8),AgoDom1+7,""))</f>
        <v>43317</v>
      </c>
    </row>
    <row r="36" spans="3:36" x14ac:dyDescent="0.2">
      <c r="C36" s="3">
        <f>IF(DAY(MaiDom1)=1,IF(AND(YEAR(MaiDom1+1)=CalendárioAno,MONTH(MaiDom1+1)=5),MaiDom1+1,""),IF(AND(YEAR(MaiDom1+8)=CalendárioAno,MONTH(MaiDom1+8)=5),MaiDom1+8,""))</f>
        <v>43227</v>
      </c>
      <c r="D36" s="19">
        <f>IF(DAY(MaiDom1)=1,IF(AND(YEAR(MaiDom1+2)=CalendárioAno,MONTH(MaiDom1+2)=5),MaiDom1+2,""),IF(AND(YEAR(MaiDom1+9)=CalendárioAno,MONTH(MaiDom1+9)=5),MaiDom1+9,""))</f>
        <v>43228</v>
      </c>
      <c r="E36" s="3">
        <f>IF(DAY(MaiDom1)=1,IF(AND(YEAR(MaiDom1+3)=CalendárioAno,MONTH(MaiDom1+3)=5),MaiDom1+3,""),IF(AND(YEAR(MaiDom1+10)=CalendárioAno,MONTH(MaiDom1+10)=5),MaiDom1+10,""))</f>
        <v>43229</v>
      </c>
      <c r="F36" s="3">
        <f>IF(DAY(MaiDom1)=1,IF(AND(YEAR(MaiDom1+4)=CalendárioAno,MONTH(MaiDom1+4)=5),MaiDom1+4,""),IF(AND(YEAR(MaiDom1+11)=CalendárioAno,MONTH(MaiDom1+11)=5),MaiDom1+11,""))</f>
        <v>43230</v>
      </c>
      <c r="G36" s="3">
        <f>IF(DAY(MaiDom1)=1,IF(AND(YEAR(MaiDom1+5)=CalendárioAno,MONTH(MaiDom1+5)=5),MaiDom1+5,""),IF(AND(YEAR(MaiDom1+12)=CalendárioAno,MONTH(MaiDom1+12)=5),MaiDom1+12,""))</f>
        <v>43231</v>
      </c>
      <c r="H36" s="3">
        <f>IF(DAY(MaiDom1)=1,IF(AND(YEAR(MaiDom1+6)=CalendárioAno,MONTH(MaiDom1+6)=5),MaiDom1+6,""),IF(AND(YEAR(MaiDom1+13)=CalendárioAno,MONTH(MaiDom1+13)=5),MaiDom1+13,""))</f>
        <v>43232</v>
      </c>
      <c r="I36" s="3">
        <f>IF(DAY(MaiDom1)=1,IF(AND(YEAR(MaiDom1+7)=CalendárioAno,MONTH(MaiDom1+7)=5),MaiDom1+7,""),IF(AND(YEAR(MaiDom1+14)=CalendárioAno,MONTH(MaiDom1+14)=5),MaiDom1+14,""))</f>
        <v>43233</v>
      </c>
      <c r="J36" s="11"/>
      <c r="K36" s="2"/>
      <c r="L36" s="3">
        <f>IF(DAY(JunDom1)=1,IF(AND(YEAR(JunDom1+1)=CalendárioAno,MONTH(JunDom1+1)=6),JunDom1+1,""),IF(AND(YEAR(JunDom1+8)=CalendárioAno,MONTH(JunDom1+8)=6),JunDom1+8,""))</f>
        <v>43255</v>
      </c>
      <c r="M36" s="3">
        <f>IF(DAY(JunDom1)=1,IF(AND(YEAR(JunDom1+2)=CalendárioAno,MONTH(JunDom1+2)=6),JunDom1+2,""),IF(AND(YEAR(JunDom1+9)=CalendárioAno,MONTH(JunDom1+9)=6),JunDom1+9,""))</f>
        <v>43256</v>
      </c>
      <c r="N36" s="3">
        <f>IF(DAY(JunDom1)=1,IF(AND(YEAR(JunDom1+3)=CalendárioAno,MONTH(JunDom1+3)=6),JunDom1+3,""),IF(AND(YEAR(JunDom1+10)=CalendárioAno,MONTH(JunDom1+10)=6),JunDom1+10,""))</f>
        <v>43257</v>
      </c>
      <c r="O36" s="3">
        <f>IF(DAY(JunDom1)=1,IF(AND(YEAR(JunDom1+4)=CalendárioAno,MONTH(JunDom1+4)=6),JunDom1+4,""),IF(AND(YEAR(JunDom1+11)=CalendárioAno,MONTH(JunDom1+11)=6),JunDom1+11,""))</f>
        <v>43258</v>
      </c>
      <c r="P36" s="3">
        <f>IF(DAY(JunDom1)=1,IF(AND(YEAR(JunDom1+5)=CalendárioAno,MONTH(JunDom1+5)=6),JunDom1+5,""),IF(AND(YEAR(JunDom1+12)=CalendárioAno,MONTH(JunDom1+12)=6),JunDom1+12,""))</f>
        <v>43259</v>
      </c>
      <c r="Q36" s="3">
        <f>IF(DAY(JunDom1)=1,IF(AND(YEAR(JunDom1+6)=CalendárioAno,MONTH(JunDom1+6)=6),JunDom1+6,""),IF(AND(YEAR(JunDom1+13)=CalendárioAno,MONTH(JunDom1+13)=6),JunDom1+13,""))</f>
        <v>43260</v>
      </c>
      <c r="R36" s="3">
        <f>IF(DAY(JunDom1)=1,IF(AND(YEAR(JunDom1+7)=CalendárioAno,MONTH(JunDom1+7)=6),JunDom1+7,""),IF(AND(YEAR(JunDom1+14)=CalendárioAno,MONTH(JunDom1+14)=6),JunDom1+14,""))</f>
        <v>43261</v>
      </c>
      <c r="S36" s="11"/>
      <c r="U36" s="3">
        <f>IF(DAY(JulDom1)=1,IF(AND(YEAR(JulDom1+1)=CalendárioAno,MONTH(JulDom1+1)=7),JulDom1+1,""),IF(AND(YEAR(JulDom1+8)=CalendárioAno,MONTH(JulDom1+8)=7),JulDom1+8,""))</f>
        <v>43283</v>
      </c>
      <c r="V36" s="19">
        <f>IF(DAY(JulDom1)=1,IF(AND(YEAR(JulDom1+2)=CalendárioAno,MONTH(JulDom1+2)=7),JulDom1+2,""),IF(AND(YEAR(JulDom1+9)=CalendárioAno,MONTH(JulDom1+9)=7),JulDom1+9,""))</f>
        <v>43284</v>
      </c>
      <c r="W36" s="3">
        <f>IF(DAY(JulDom1)=1,IF(AND(YEAR(JulDom1+3)=CalendárioAno,MONTH(JulDom1+3)=7),JulDom1+3,""),IF(AND(YEAR(JulDom1+10)=CalendárioAno,MONTH(JulDom1+10)=7),JulDom1+10,""))</f>
        <v>43285</v>
      </c>
      <c r="X36" s="3">
        <f>IF(DAY(JulDom1)=1,IF(AND(YEAR(JulDom1+4)=CalendárioAno,MONTH(JulDom1+4)=7),JulDom1+4,""),IF(AND(YEAR(JulDom1+11)=CalendárioAno,MONTH(JulDom1+11)=7),JulDom1+11,""))</f>
        <v>43286</v>
      </c>
      <c r="Y36" s="3">
        <f>IF(DAY(JulDom1)=1,IF(AND(YEAR(JulDom1+5)=CalendárioAno,MONTH(JulDom1+5)=7),JulDom1+5,""),IF(AND(YEAR(JulDom1+12)=CalendárioAno,MONTH(JulDom1+12)=7),JulDom1+12,""))</f>
        <v>43287</v>
      </c>
      <c r="Z36" s="3">
        <f>IF(DAY(JulDom1)=1,IF(AND(YEAR(JulDom1+6)=CalendárioAno,MONTH(JulDom1+6)=7),JulDom1+6,""),IF(AND(YEAR(JulDom1+13)=CalendárioAno,MONTH(JulDom1+13)=7),JulDom1+13,""))</f>
        <v>43288</v>
      </c>
      <c r="AA36" s="3">
        <f>IF(DAY(JulDom1)=1,IF(AND(YEAR(JulDom1+7)=CalendárioAno,MONTH(JulDom1+7)=7),JulDom1+7,""),IF(AND(YEAR(JulDom1+14)=CalendárioAno,MONTH(JulDom1+14)=7),JulDom1+14,""))</f>
        <v>43289</v>
      </c>
      <c r="AB36" s="11"/>
      <c r="AC36" s="5"/>
      <c r="AD36" s="3">
        <f>IF(DAY(AgoDom1)=1,IF(AND(YEAR(AgoDom1+1)=CalendárioAno,MONTH(AgoDom1+1)=8),AgoDom1+1,""),IF(AND(YEAR(AgoDom1+8)=CalendárioAno,MONTH(AgoDom1+8)=8),AgoDom1+8,""))</f>
        <v>43318</v>
      </c>
      <c r="AE36" s="19">
        <f>IF(DAY(AgoDom1)=1,IF(AND(YEAR(AgoDom1+2)=CalendárioAno,MONTH(AgoDom1+2)=8),AgoDom1+2,""),IF(AND(YEAR(AgoDom1+9)=CalendárioAno,MONTH(AgoDom1+9)=8),AgoDom1+9,""))</f>
        <v>43319</v>
      </c>
      <c r="AF36" s="3">
        <f>IF(DAY(AgoDom1)=1,IF(AND(YEAR(AgoDom1+3)=CalendárioAno,MONTH(AgoDom1+3)=8),AgoDom1+3,""),IF(AND(YEAR(AgoDom1+10)=CalendárioAno,MONTH(AgoDom1+10)=8),AgoDom1+10,""))</f>
        <v>43320</v>
      </c>
      <c r="AG36" s="3">
        <f>IF(DAY(AgoDom1)=1,IF(AND(YEAR(AgoDom1+4)=CalendárioAno,MONTH(AgoDom1+4)=8),AgoDom1+4,""),IF(AND(YEAR(AgoDom1+11)=CalendárioAno,MONTH(AgoDom1+11)=8),AgoDom1+11,""))</f>
        <v>43321</v>
      </c>
      <c r="AH36" s="3">
        <f>IF(DAY(AgoDom1)=1,IF(AND(YEAR(AgoDom1+5)=CalendárioAno,MONTH(AgoDom1+5)=8),AgoDom1+5,""),IF(AND(YEAR(AgoDom1+12)=CalendárioAno,MONTH(AgoDom1+12)=8),AgoDom1+12,""))</f>
        <v>43322</v>
      </c>
      <c r="AI36" s="3">
        <f>IF(DAY(AgoDom1)=1,IF(AND(YEAR(AgoDom1+6)=CalendárioAno,MONTH(AgoDom1+6)=8),AgoDom1+6,""),IF(AND(YEAR(AgoDom1+13)=CalendárioAno,MONTH(AgoDom1+13)=8),AgoDom1+13,""))</f>
        <v>43323</v>
      </c>
      <c r="AJ36" s="3">
        <f>IF(DAY(AgoDom1)=1,IF(AND(YEAR(AgoDom1+7)=CalendárioAno,MONTH(AgoDom1+7)=8),AgoDom1+7,""),IF(AND(YEAR(AgoDom1+14)=CalendárioAno,MONTH(AgoDom1+14)=8),AgoDom1+14,""))</f>
        <v>43324</v>
      </c>
    </row>
    <row r="37" spans="3:36" x14ac:dyDescent="0.2">
      <c r="C37" s="3">
        <f>IF(DAY(MaiDom1)=1,IF(AND(YEAR(MaiDom1+8)=CalendárioAno,MONTH(MaiDom1+8)=5),MaiDom1+8,""),IF(AND(YEAR(MaiDom1+15)=CalendárioAno,MONTH(MaiDom1+15)=5),MaiDom1+15,""))</f>
        <v>43234</v>
      </c>
      <c r="D37" s="3">
        <f>IF(DAY(MaiDom1)=1,IF(AND(YEAR(MaiDom1+9)=CalendárioAno,MONTH(MaiDom1+9)=5),MaiDom1+9,""),IF(AND(YEAR(MaiDom1+16)=CalendárioAno,MONTH(MaiDom1+16)=5),MaiDom1+16,""))</f>
        <v>43235</v>
      </c>
      <c r="E37" s="3">
        <f>IF(DAY(MaiDom1)=1,IF(AND(YEAR(MaiDom1+10)=CalendárioAno,MONTH(MaiDom1+10)=5),MaiDom1+10,""),IF(AND(YEAR(MaiDom1+17)=CalendárioAno,MONTH(MaiDom1+17)=5),MaiDom1+17,""))</f>
        <v>43236</v>
      </c>
      <c r="F37" s="3">
        <f>IF(DAY(MaiDom1)=1,IF(AND(YEAR(MaiDom1+11)=CalendárioAno,MONTH(MaiDom1+11)=5),MaiDom1+11,""),IF(AND(YEAR(MaiDom1+18)=CalendárioAno,MONTH(MaiDom1+18)=5),MaiDom1+18,""))</f>
        <v>43237</v>
      </c>
      <c r="G37" s="3">
        <f>IF(DAY(MaiDom1)=1,IF(AND(YEAR(MaiDom1+12)=CalendárioAno,MONTH(MaiDom1+12)=5),MaiDom1+12,""),IF(AND(YEAR(MaiDom1+19)=CalendárioAno,MONTH(MaiDom1+19)=5),MaiDom1+19,""))</f>
        <v>43238</v>
      </c>
      <c r="H37" s="3">
        <f>IF(DAY(MaiDom1)=1,IF(AND(YEAR(MaiDom1+13)=CalendárioAno,MONTH(MaiDom1+13)=5),MaiDom1+13,""),IF(AND(YEAR(MaiDom1+20)=CalendárioAno,MONTH(MaiDom1+20)=5),MaiDom1+20,""))</f>
        <v>43239</v>
      </c>
      <c r="I37" s="3">
        <f>IF(DAY(MaiDom1)=1,IF(AND(YEAR(MaiDom1+14)=CalendárioAno,MONTH(MaiDom1+14)=5),MaiDom1+14,""),IF(AND(YEAR(MaiDom1+21)=CalendárioAno,MONTH(MaiDom1+21)=5),MaiDom1+21,""))</f>
        <v>43240</v>
      </c>
      <c r="J37" s="11"/>
      <c r="K37" s="3"/>
      <c r="L37" s="3">
        <f>IF(DAY(JunDom1)=1,IF(AND(YEAR(JunDom1+8)=CalendárioAno,MONTH(JunDom1+8)=6),JunDom1+8,""),IF(AND(YEAR(JunDom1+15)=CalendárioAno,MONTH(JunDom1+15)=6),JunDom1+15,""))</f>
        <v>43262</v>
      </c>
      <c r="M37" s="3">
        <f>IF(DAY(JunDom1)=1,IF(AND(YEAR(JunDom1+9)=CalendárioAno,MONTH(JunDom1+9)=6),JunDom1+9,""),IF(AND(YEAR(JunDom1+16)=CalendárioAno,MONTH(JunDom1+16)=6),JunDom1+16,""))</f>
        <v>43263</v>
      </c>
      <c r="N37" s="3">
        <f>IF(DAY(JunDom1)=1,IF(AND(YEAR(JunDom1+10)=CalendárioAno,MONTH(JunDom1+10)=6),JunDom1+10,""),IF(AND(YEAR(JunDom1+17)=CalendárioAno,MONTH(JunDom1+17)=6),JunDom1+17,""))</f>
        <v>43264</v>
      </c>
      <c r="O37" s="3">
        <f>IF(DAY(JunDom1)=1,IF(AND(YEAR(JunDom1+11)=CalendárioAno,MONTH(JunDom1+11)=6),JunDom1+11,""),IF(AND(YEAR(JunDom1+18)=CalendárioAno,MONTH(JunDom1+18)=6),JunDom1+18,""))</f>
        <v>43265</v>
      </c>
      <c r="P37" s="3">
        <f>IF(DAY(JunDom1)=1,IF(AND(YEAR(JunDom1+12)=CalendárioAno,MONTH(JunDom1+12)=6),JunDom1+12,""),IF(AND(YEAR(JunDom1+19)=CalendárioAno,MONTH(JunDom1+19)=6),JunDom1+19,""))</f>
        <v>43266</v>
      </c>
      <c r="Q37" s="3">
        <f>IF(DAY(JunDom1)=1,IF(AND(YEAR(JunDom1+13)=CalendárioAno,MONTH(JunDom1+13)=6),JunDom1+13,""),IF(AND(YEAR(JunDom1+20)=CalendárioAno,MONTH(JunDom1+20)=6),JunDom1+20,""))</f>
        <v>43267</v>
      </c>
      <c r="R37" s="3">
        <f>IF(DAY(JunDom1)=1,IF(AND(YEAR(JunDom1+14)=CalendárioAno,MONTH(JunDom1+14)=6),JunDom1+14,""),IF(AND(YEAR(JunDom1+21)=CalendárioAno,MONTH(JunDom1+21)=6),JunDom1+21,""))</f>
        <v>43268</v>
      </c>
      <c r="S37" s="11"/>
      <c r="U37" s="3">
        <f>IF(DAY(JulDom1)=1,IF(AND(YEAR(JulDom1+8)=CalendárioAno,MONTH(JulDom1+8)=7),JulDom1+8,""),IF(AND(YEAR(JulDom1+15)=CalendárioAno,MONTH(JulDom1+15)=7),JulDom1+15,""))</f>
        <v>43290</v>
      </c>
      <c r="V37" s="3">
        <f>IF(DAY(JulDom1)=1,IF(AND(YEAR(JulDom1+9)=CalendárioAno,MONTH(JulDom1+9)=7),JulDom1+9,""),IF(AND(YEAR(JulDom1+16)=CalendárioAno,MONTH(JulDom1+16)=7),JulDom1+16,""))</f>
        <v>43291</v>
      </c>
      <c r="W37" s="3">
        <f>IF(DAY(JulDom1)=1,IF(AND(YEAR(JulDom1+10)=CalendárioAno,MONTH(JulDom1+10)=7),JulDom1+10,""),IF(AND(YEAR(JulDom1+17)=CalendárioAno,MONTH(JulDom1+17)=7),JulDom1+17,""))</f>
        <v>43292</v>
      </c>
      <c r="X37" s="3">
        <f>IF(DAY(JulDom1)=1,IF(AND(YEAR(JulDom1+11)=CalendárioAno,MONTH(JulDom1+11)=7),JulDom1+11,""),IF(AND(YEAR(JulDom1+18)=CalendárioAno,MONTH(JulDom1+18)=7),JulDom1+18,""))</f>
        <v>43293</v>
      </c>
      <c r="Y37" s="3">
        <f>IF(DAY(JulDom1)=1,IF(AND(YEAR(JulDom1+12)=CalendárioAno,MONTH(JulDom1+12)=7),JulDom1+12,""),IF(AND(YEAR(JulDom1+19)=CalendárioAno,MONTH(JulDom1+19)=7),JulDom1+19,""))</f>
        <v>43294</v>
      </c>
      <c r="Z37" s="3">
        <f>IF(DAY(JulDom1)=1,IF(AND(YEAR(JulDom1+13)=CalendárioAno,MONTH(JulDom1+13)=7),JulDom1+13,""),IF(AND(YEAR(JulDom1+20)=CalendárioAno,MONTH(JulDom1+20)=7),JulDom1+20,""))</f>
        <v>43295</v>
      </c>
      <c r="AA37" s="3">
        <f>IF(DAY(JulDom1)=1,IF(AND(YEAR(JulDom1+14)=CalendárioAno,MONTH(JulDom1+14)=7),JulDom1+14,""),IF(AND(YEAR(JulDom1+21)=CalendárioAno,MONTH(JulDom1+21)=7),JulDom1+21,""))</f>
        <v>43296</v>
      </c>
      <c r="AB37" s="11"/>
      <c r="AC37" s="5"/>
      <c r="AD37" s="3">
        <f>IF(DAY(AgoDom1)=1,IF(AND(YEAR(AgoDom1+8)=CalendárioAno,MONTH(AgoDom1+8)=8),AgoDom1+8,""),IF(AND(YEAR(AgoDom1+15)=CalendárioAno,MONTH(AgoDom1+15)=8),AgoDom1+15,""))</f>
        <v>43325</v>
      </c>
      <c r="AE37" s="3">
        <f>IF(DAY(AgoDom1)=1,IF(AND(YEAR(AgoDom1+9)=CalendárioAno,MONTH(AgoDom1+9)=8),AgoDom1+9,""),IF(AND(YEAR(AgoDom1+16)=CalendárioAno,MONTH(AgoDom1+16)=8),AgoDom1+16,""))</f>
        <v>43326</v>
      </c>
      <c r="AF37" s="3">
        <f>IF(DAY(AgoDom1)=1,IF(AND(YEAR(AgoDom1+10)=CalendárioAno,MONTH(AgoDom1+10)=8),AgoDom1+10,""),IF(AND(YEAR(AgoDom1+17)=CalendárioAno,MONTH(AgoDom1+17)=8),AgoDom1+17,""))</f>
        <v>43327</v>
      </c>
      <c r="AG37" s="3">
        <f>IF(DAY(AgoDom1)=1,IF(AND(YEAR(AgoDom1+11)=CalendárioAno,MONTH(AgoDom1+11)=8),AgoDom1+11,""),IF(AND(YEAR(AgoDom1+18)=CalendárioAno,MONTH(AgoDom1+18)=8),AgoDom1+18,""))</f>
        <v>43328</v>
      </c>
      <c r="AH37" s="3">
        <f>IF(DAY(AgoDom1)=1,IF(AND(YEAR(AgoDom1+12)=CalendárioAno,MONTH(AgoDom1+12)=8),AgoDom1+12,""),IF(AND(YEAR(AgoDom1+19)=CalendárioAno,MONTH(AgoDom1+19)=8),AgoDom1+19,""))</f>
        <v>43329</v>
      </c>
      <c r="AI37" s="3">
        <f>IF(DAY(AgoDom1)=1,IF(AND(YEAR(AgoDom1+13)=CalendárioAno,MONTH(AgoDom1+13)=8),AgoDom1+13,""),IF(AND(YEAR(AgoDom1+20)=CalendárioAno,MONTH(AgoDom1+20)=8),AgoDom1+20,""))</f>
        <v>43330</v>
      </c>
      <c r="AJ37" s="3">
        <f>IF(DAY(AgoDom1)=1,IF(AND(YEAR(AgoDom1+14)=CalendárioAno,MONTH(AgoDom1+14)=8),AgoDom1+14,""),IF(AND(YEAR(AgoDom1+21)=CalendárioAno,MONTH(AgoDom1+21)=8),AgoDom1+21,""))</f>
        <v>43331</v>
      </c>
    </row>
    <row r="38" spans="3:36" x14ac:dyDescent="0.2">
      <c r="C38" s="3">
        <f>IF(DAY(MaiDom1)=1,IF(AND(YEAR(MaiDom1+15)=CalendárioAno,MONTH(MaiDom1+15)=5),MaiDom1+15,""),IF(AND(YEAR(MaiDom1+22)=CalendárioAno,MONTH(MaiDom1+22)=5),MaiDom1+22,""))</f>
        <v>43241</v>
      </c>
      <c r="D38" s="3">
        <f>IF(DAY(MaiDom1)=1,IF(AND(YEAR(MaiDom1+16)=CalendárioAno,MONTH(MaiDom1+16)=5),MaiDom1+16,""),IF(AND(YEAR(MaiDom1+23)=CalendárioAno,MONTH(MaiDom1+23)=5),MaiDom1+23,""))</f>
        <v>43242</v>
      </c>
      <c r="E38" s="3">
        <f>IF(DAY(MaiDom1)=1,IF(AND(YEAR(MaiDom1+17)=CalendárioAno,MONTH(MaiDom1+17)=5),MaiDom1+17,""),IF(AND(YEAR(MaiDom1+24)=CalendárioAno,MONTH(MaiDom1+24)=5),MaiDom1+24,""))</f>
        <v>43243</v>
      </c>
      <c r="F38" s="3">
        <f>IF(DAY(MaiDom1)=1,IF(AND(YEAR(MaiDom1+18)=CalendárioAno,MONTH(MaiDom1+18)=5),MaiDom1+18,""),IF(AND(YEAR(MaiDom1+25)=CalendárioAno,MONTH(MaiDom1+25)=5),MaiDom1+25,""))</f>
        <v>43244</v>
      </c>
      <c r="G38" s="3">
        <f>IF(DAY(MaiDom1)=1,IF(AND(YEAR(MaiDom1+19)=CalendárioAno,MONTH(MaiDom1+19)=5),MaiDom1+19,""),IF(AND(YEAR(MaiDom1+26)=CalendárioAno,MONTH(MaiDom1+26)=5),MaiDom1+26,""))</f>
        <v>43245</v>
      </c>
      <c r="H38" s="3">
        <f>IF(DAY(MaiDom1)=1,IF(AND(YEAR(MaiDom1+20)=CalendárioAno,MONTH(MaiDom1+20)=5),MaiDom1+20,""),IF(AND(YEAR(MaiDom1+27)=CalendárioAno,MONTH(MaiDom1+27)=5),MaiDom1+27,""))</f>
        <v>43246</v>
      </c>
      <c r="I38" s="3">
        <f>IF(DAY(MaiDom1)=1,IF(AND(YEAR(MaiDom1+21)=CalendárioAno,MONTH(MaiDom1+21)=5),MaiDom1+21,""),IF(AND(YEAR(MaiDom1+28)=CalendárioAno,MONTH(MaiDom1+28)=5),MaiDom1+28,""))</f>
        <v>43247</v>
      </c>
      <c r="J38" s="11"/>
      <c r="K38" s="3"/>
      <c r="L38" s="3">
        <f>IF(DAY(JunDom1)=1,IF(AND(YEAR(JunDom1+15)=CalendárioAno,MONTH(JunDom1+15)=6),JunDom1+15,""),IF(AND(YEAR(JunDom1+22)=CalendárioAno,MONTH(JunDom1+22)=6),JunDom1+22,""))</f>
        <v>43269</v>
      </c>
      <c r="M38" s="3">
        <f>IF(DAY(JunDom1)=1,IF(AND(YEAR(JunDom1+16)=CalendárioAno,MONTH(JunDom1+16)=6),JunDom1+16,""),IF(AND(YEAR(JunDom1+23)=CalendárioAno,MONTH(JunDom1+23)=6),JunDom1+23,""))</f>
        <v>43270</v>
      </c>
      <c r="N38" s="3">
        <f>IF(DAY(JunDom1)=1,IF(AND(YEAR(JunDom1+17)=CalendárioAno,MONTH(JunDom1+17)=6),JunDom1+17,""),IF(AND(YEAR(JunDom1+24)=CalendárioAno,MONTH(JunDom1+24)=6),JunDom1+24,""))</f>
        <v>43271</v>
      </c>
      <c r="O38" s="3">
        <f>IF(DAY(JunDom1)=1,IF(AND(YEAR(JunDom1+18)=CalendárioAno,MONTH(JunDom1+18)=6),JunDom1+18,""),IF(AND(YEAR(JunDom1+25)=CalendárioAno,MONTH(JunDom1+25)=6),JunDom1+25,""))</f>
        <v>43272</v>
      </c>
      <c r="P38" s="3">
        <f>IF(DAY(JunDom1)=1,IF(AND(YEAR(JunDom1+19)=CalendárioAno,MONTH(JunDom1+19)=6),JunDom1+19,""),IF(AND(YEAR(JunDom1+26)=CalendárioAno,MONTH(JunDom1+26)=6),JunDom1+26,""))</f>
        <v>43273</v>
      </c>
      <c r="Q38" s="3">
        <f>IF(DAY(JunDom1)=1,IF(AND(YEAR(JunDom1+20)=CalendárioAno,MONTH(JunDom1+20)=6),JunDom1+20,""),IF(AND(YEAR(JunDom1+27)=CalendárioAno,MONTH(JunDom1+27)=6),JunDom1+27,""))</f>
        <v>43274</v>
      </c>
      <c r="R38" s="3">
        <f>IF(DAY(JunDom1)=1,IF(AND(YEAR(JunDom1+21)=CalendárioAno,MONTH(JunDom1+21)=6),JunDom1+21,""),IF(AND(YEAR(JunDom1+28)=CalendárioAno,MONTH(JunDom1+28)=6),JunDom1+28,""))</f>
        <v>43275</v>
      </c>
      <c r="S38" s="11"/>
      <c r="U38" s="3">
        <f>IF(DAY(JulDom1)=1,IF(AND(YEAR(JulDom1+15)=CalendárioAno,MONTH(JulDom1+15)=7),JulDom1+15,""),IF(AND(YEAR(JulDom1+22)=CalendárioAno,MONTH(JulDom1+22)=7),JulDom1+22,""))</f>
        <v>43297</v>
      </c>
      <c r="V38" s="3">
        <f>IF(DAY(JulDom1)=1,IF(AND(YEAR(JulDom1+16)=CalendárioAno,MONTH(JulDom1+16)=7),JulDom1+16,""),IF(AND(YEAR(JulDom1+23)=CalendárioAno,MONTH(JulDom1+23)=7),JulDom1+23,""))</f>
        <v>43298</v>
      </c>
      <c r="W38" s="3">
        <f>IF(DAY(JulDom1)=1,IF(AND(YEAR(JulDom1+17)=CalendárioAno,MONTH(JulDom1+17)=7),JulDom1+17,""),IF(AND(YEAR(JulDom1+24)=CalendárioAno,MONTH(JulDom1+24)=7),JulDom1+24,""))</f>
        <v>43299</v>
      </c>
      <c r="X38" s="3">
        <f>IF(DAY(JulDom1)=1,IF(AND(YEAR(JulDom1+18)=CalendárioAno,MONTH(JulDom1+18)=7),JulDom1+18,""),IF(AND(YEAR(JulDom1+25)=CalendárioAno,MONTH(JulDom1+25)=7),JulDom1+25,""))</f>
        <v>43300</v>
      </c>
      <c r="Y38" s="3">
        <f>IF(DAY(JulDom1)=1,IF(AND(YEAR(JulDom1+19)=CalendárioAno,MONTH(JulDom1+19)=7),JulDom1+19,""),IF(AND(YEAR(JulDom1+26)=CalendárioAno,MONTH(JulDom1+26)=7),JulDom1+26,""))</f>
        <v>43301</v>
      </c>
      <c r="Z38" s="3">
        <f>IF(DAY(JulDom1)=1,IF(AND(YEAR(JulDom1+20)=CalendárioAno,MONTH(JulDom1+20)=7),JulDom1+20,""),IF(AND(YEAR(JulDom1+27)=CalendárioAno,MONTH(JulDom1+27)=7),JulDom1+27,""))</f>
        <v>43302</v>
      </c>
      <c r="AA38" s="3">
        <f>IF(DAY(JulDom1)=1,IF(AND(YEAR(JulDom1+21)=CalendárioAno,MONTH(JulDom1+21)=7),JulDom1+21,""),IF(AND(YEAR(JulDom1+28)=CalendárioAno,MONTH(JulDom1+28)=7),JulDom1+28,""))</f>
        <v>43303</v>
      </c>
      <c r="AB38" s="11"/>
      <c r="AC38" s="5"/>
      <c r="AD38" s="3">
        <f>IF(DAY(AgoDom1)=1,IF(AND(YEAR(AgoDom1+15)=CalendárioAno,MONTH(AgoDom1+15)=8),AgoDom1+15,""),IF(AND(YEAR(AgoDom1+22)=CalendárioAno,MONTH(AgoDom1+22)=8),AgoDom1+22,""))</f>
        <v>43332</v>
      </c>
      <c r="AE38" s="3">
        <f>IF(DAY(AgoDom1)=1,IF(AND(YEAR(AgoDom1+16)=CalendárioAno,MONTH(AgoDom1+16)=8),AgoDom1+16,""),IF(AND(YEAR(AgoDom1+23)=CalendárioAno,MONTH(AgoDom1+23)=8),AgoDom1+23,""))</f>
        <v>43333</v>
      </c>
      <c r="AF38" s="3">
        <f>IF(DAY(AgoDom1)=1,IF(AND(YEAR(AgoDom1+17)=CalendárioAno,MONTH(AgoDom1+17)=8),AgoDom1+17,""),IF(AND(YEAR(AgoDom1+24)=CalendárioAno,MONTH(AgoDom1+24)=8),AgoDom1+24,""))</f>
        <v>43334</v>
      </c>
      <c r="AG38" s="3">
        <f>IF(DAY(AgoDom1)=1,IF(AND(YEAR(AgoDom1+18)=CalendárioAno,MONTH(AgoDom1+18)=8),AgoDom1+18,""),IF(AND(YEAR(AgoDom1+25)=CalendárioAno,MONTH(AgoDom1+25)=8),AgoDom1+25,""))</f>
        <v>43335</v>
      </c>
      <c r="AH38" s="3">
        <f>IF(DAY(AgoDom1)=1,IF(AND(YEAR(AgoDom1+19)=CalendárioAno,MONTH(AgoDom1+19)=8),AgoDom1+19,""),IF(AND(YEAR(AgoDom1+26)=CalendárioAno,MONTH(AgoDom1+26)=8),AgoDom1+26,""))</f>
        <v>43336</v>
      </c>
      <c r="AI38" s="3">
        <f>IF(DAY(AgoDom1)=1,IF(AND(YEAR(AgoDom1+20)=CalendárioAno,MONTH(AgoDom1+20)=8),AgoDom1+20,""),IF(AND(YEAR(AgoDom1+27)=CalendárioAno,MONTH(AgoDom1+27)=8),AgoDom1+27,""))</f>
        <v>43337</v>
      </c>
      <c r="AJ38" s="3">
        <f>IF(DAY(AgoDom1)=1,IF(AND(YEAR(AgoDom1+21)=CalendárioAno,MONTH(AgoDom1+21)=8),AgoDom1+21,""),IF(AND(YEAR(AgoDom1+28)=CalendárioAno,MONTH(AgoDom1+28)=8),AgoDom1+28,""))</f>
        <v>43338</v>
      </c>
    </row>
    <row r="39" spans="3:36" x14ac:dyDescent="0.2">
      <c r="C39" s="3">
        <f>IF(DAY(MaiDom1)=1,IF(AND(YEAR(MaiDom1+22)=CalendárioAno,MONTH(MaiDom1+22)=5),MaiDom1+22,""),IF(AND(YEAR(MaiDom1+29)=CalendárioAno,MONTH(MaiDom1+29)=5),MaiDom1+29,""))</f>
        <v>43248</v>
      </c>
      <c r="D39" s="3">
        <f>IF(DAY(MaiDom1)=1,IF(AND(YEAR(MaiDom1+23)=CalendárioAno,MONTH(MaiDom1+23)=5),MaiDom1+23,""),IF(AND(YEAR(MaiDom1+30)=CalendárioAno,MONTH(MaiDom1+30)=5),MaiDom1+30,""))</f>
        <v>43249</v>
      </c>
      <c r="E39" s="3">
        <f>IF(DAY(MaiDom1)=1,IF(AND(YEAR(MaiDom1+24)=CalendárioAno,MONTH(MaiDom1+24)=5),MaiDom1+24,""),IF(AND(YEAR(MaiDom1+31)=CalendárioAno,MONTH(MaiDom1+31)=5),MaiDom1+31,""))</f>
        <v>43250</v>
      </c>
      <c r="F39" s="3">
        <f>IF(DAY(MaiDom1)=1,IF(AND(YEAR(MaiDom1+25)=CalendárioAno,MONTH(MaiDom1+25)=5),MaiDom1+25,""),IF(AND(YEAR(MaiDom1+32)=CalendárioAno,MONTH(MaiDom1+32)=5),MaiDom1+32,""))</f>
        <v>43251</v>
      </c>
      <c r="G39" s="3" t="str">
        <f>IF(DAY(MaiDom1)=1,IF(AND(YEAR(MaiDom1+26)=CalendárioAno,MONTH(MaiDom1+26)=5),MaiDom1+26,""),IF(AND(YEAR(MaiDom1+33)=CalendárioAno,MONTH(MaiDom1+33)=5),MaiDom1+33,""))</f>
        <v/>
      </c>
      <c r="H39" s="3" t="str">
        <f>IF(DAY(MaiDom1)=1,IF(AND(YEAR(MaiDom1+27)=CalendárioAno,MONTH(MaiDom1+27)=5),MaiDom1+27,""),IF(AND(YEAR(MaiDom1+34)=CalendárioAno,MONTH(MaiDom1+34)=5),MaiDom1+34,""))</f>
        <v/>
      </c>
      <c r="I39" s="3" t="str">
        <f>IF(DAY(MaiDom1)=1,IF(AND(YEAR(MaiDom1+28)=CalendárioAno,MONTH(MaiDom1+28)=5),MaiDom1+28,""),IF(AND(YEAR(MaiDom1+35)=CalendárioAno,MONTH(MaiDom1+35)=5),MaiDom1+35,""))</f>
        <v/>
      </c>
      <c r="J39" s="11"/>
      <c r="K39" s="3"/>
      <c r="L39" s="3">
        <f>IF(DAY(JunDom1)=1,IF(AND(YEAR(JunDom1+22)=CalendárioAno,MONTH(JunDom1+22)=6),JunDom1+22,""),IF(AND(YEAR(JunDom1+29)=CalendárioAno,MONTH(JunDom1+29)=6),JunDom1+29,""))</f>
        <v>43276</v>
      </c>
      <c r="M39" s="3">
        <f>IF(DAY(JunDom1)=1,IF(AND(YEAR(JunDom1+23)=CalendárioAno,MONTH(JunDom1+23)=6),JunDom1+23,""),IF(AND(YEAR(JunDom1+30)=CalendárioAno,MONTH(JunDom1+30)=6),JunDom1+30,""))</f>
        <v>43277</v>
      </c>
      <c r="N39" s="3">
        <f>IF(DAY(JunDom1)=1,IF(AND(YEAR(JunDom1+24)=CalendárioAno,MONTH(JunDom1+24)=6),JunDom1+24,""),IF(AND(YEAR(JunDom1+31)=CalendárioAno,MONTH(JunDom1+31)=6),JunDom1+31,""))</f>
        <v>43278</v>
      </c>
      <c r="O39" s="3">
        <f>IF(DAY(JunDom1)=1,IF(AND(YEAR(JunDom1+25)=CalendárioAno,MONTH(JunDom1+25)=6),JunDom1+25,""),IF(AND(YEAR(JunDom1+32)=CalendárioAno,MONTH(JunDom1+32)=6),JunDom1+32,""))</f>
        <v>43279</v>
      </c>
      <c r="P39" s="3">
        <f>IF(DAY(JunDom1)=1,IF(AND(YEAR(JunDom1+26)=CalendárioAno,MONTH(JunDom1+26)=6),JunDom1+26,""),IF(AND(YEAR(JunDom1+33)=CalendárioAno,MONTH(JunDom1+33)=6),JunDom1+33,""))</f>
        <v>43280</v>
      </c>
      <c r="Q39" s="3">
        <f>IF(DAY(JunDom1)=1,IF(AND(YEAR(JunDom1+27)=CalendárioAno,MONTH(JunDom1+27)=6),JunDom1+27,""),IF(AND(YEAR(JunDom1+34)=CalendárioAno,MONTH(JunDom1+34)=6),JunDom1+34,""))</f>
        <v>43281</v>
      </c>
      <c r="R39" s="3" t="str">
        <f>IF(DAY(JunDom1)=1,IF(AND(YEAR(JunDom1+28)=CalendárioAno,MONTH(JunDom1+28)=6),JunDom1+28,""),IF(AND(YEAR(JunDom1+35)=CalendárioAno,MONTH(JunDom1+35)=6),JunDom1+35,""))</f>
        <v/>
      </c>
      <c r="S39" s="11"/>
      <c r="U39" s="3">
        <f>IF(DAY(JulDom1)=1,IF(AND(YEAR(JulDom1+22)=CalendárioAno,MONTH(JulDom1+22)=7),JulDom1+22,""),IF(AND(YEAR(JulDom1+29)=CalendárioAno,MONTH(JulDom1+29)=7),JulDom1+29,""))</f>
        <v>43304</v>
      </c>
      <c r="V39" s="3">
        <f>IF(DAY(JulDom1)=1,IF(AND(YEAR(JulDom1+23)=CalendárioAno,MONTH(JulDom1+23)=7),JulDom1+23,""),IF(AND(YEAR(JulDom1+30)=CalendárioAno,MONTH(JulDom1+30)=7),JulDom1+30,""))</f>
        <v>43305</v>
      </c>
      <c r="W39" s="3">
        <f>IF(DAY(JulDom1)=1,IF(AND(YEAR(JulDom1+24)=CalendárioAno,MONTH(JulDom1+24)=7),JulDom1+24,""),IF(AND(YEAR(JulDom1+31)=CalendárioAno,MONTH(JulDom1+31)=7),JulDom1+31,""))</f>
        <v>43306</v>
      </c>
      <c r="X39" s="3">
        <f>IF(DAY(JulDom1)=1,IF(AND(YEAR(JulDom1+25)=CalendárioAno,MONTH(JulDom1+25)=7),JulDom1+25,""),IF(AND(YEAR(JulDom1+32)=CalendárioAno,MONTH(JulDom1+32)=7),JulDom1+32,""))</f>
        <v>43307</v>
      </c>
      <c r="Y39" s="3">
        <f>IF(DAY(JulDom1)=1,IF(AND(YEAR(JulDom1+26)=CalendárioAno,MONTH(JulDom1+26)=7),JulDom1+26,""),IF(AND(YEAR(JulDom1+33)=CalendárioAno,MONTH(JulDom1+33)=7),JulDom1+33,""))</f>
        <v>43308</v>
      </c>
      <c r="Z39" s="3">
        <f>IF(DAY(JulDom1)=1,IF(AND(YEAR(JulDom1+27)=CalendárioAno,MONTH(JulDom1+27)=7),JulDom1+27,""),IF(AND(YEAR(JulDom1+34)=CalendárioAno,MONTH(JulDom1+34)=7),JulDom1+34,""))</f>
        <v>43309</v>
      </c>
      <c r="AA39" s="3">
        <f>IF(DAY(JulDom1)=1,IF(AND(YEAR(JulDom1+28)=CalendárioAno,MONTH(JulDom1+28)=7),JulDom1+28,""),IF(AND(YEAR(JulDom1+35)=CalendárioAno,MONTH(JulDom1+35)=7),JulDom1+35,""))</f>
        <v>43310</v>
      </c>
      <c r="AB39" s="11"/>
      <c r="AC39" s="5"/>
      <c r="AD39" s="3">
        <f>IF(DAY(AgoDom1)=1,IF(AND(YEAR(AgoDom1+22)=CalendárioAno,MONTH(AgoDom1+22)=8),AgoDom1+22,""),IF(AND(YEAR(AgoDom1+29)=CalendárioAno,MONTH(AgoDom1+29)=8),AgoDom1+29,""))</f>
        <v>43339</v>
      </c>
      <c r="AE39" s="3">
        <f>IF(DAY(AgoDom1)=1,IF(AND(YEAR(AgoDom1+23)=CalendárioAno,MONTH(AgoDom1+23)=8),AgoDom1+23,""),IF(AND(YEAR(AgoDom1+30)=CalendárioAno,MONTH(AgoDom1+30)=8),AgoDom1+30,""))</f>
        <v>43340</v>
      </c>
      <c r="AF39" s="3">
        <f>IF(DAY(AgoDom1)=1,IF(AND(YEAR(AgoDom1+24)=CalendárioAno,MONTH(AgoDom1+24)=8),AgoDom1+24,""),IF(AND(YEAR(AgoDom1+31)=CalendárioAno,MONTH(AgoDom1+31)=8),AgoDom1+31,""))</f>
        <v>43341</v>
      </c>
      <c r="AG39" s="3">
        <f>IF(DAY(AgoDom1)=1,IF(AND(YEAR(AgoDom1+25)=CalendárioAno,MONTH(AgoDom1+25)=8),AgoDom1+25,""),IF(AND(YEAR(AgoDom1+32)=CalendárioAno,MONTH(AgoDom1+32)=8),AgoDom1+32,""))</f>
        <v>43342</v>
      </c>
      <c r="AH39" s="3">
        <f>IF(DAY(AgoDom1)=1,IF(AND(YEAR(AgoDom1+26)=CalendárioAno,MONTH(AgoDom1+26)=8),AgoDom1+26,""),IF(AND(YEAR(AgoDom1+33)=CalendárioAno,MONTH(AgoDom1+33)=8),AgoDom1+33,""))</f>
        <v>43343</v>
      </c>
      <c r="AI39" s="3" t="str">
        <f>IF(DAY(AgoDom1)=1,IF(AND(YEAR(AgoDom1+27)=CalendárioAno,MONTH(AgoDom1+27)=8),AgoDom1+27,""),IF(AND(YEAR(AgoDom1+34)=CalendárioAno,MONTH(AgoDom1+34)=8),AgoDom1+34,""))</f>
        <v/>
      </c>
      <c r="AJ39" s="3" t="str">
        <f>IF(DAY(AgoDom1)=1,IF(AND(YEAR(AgoDom1+28)=CalendárioAno,MONTH(AgoDom1+28)=8),AgoDom1+28,""),IF(AND(YEAR(AgoDom1+35)=CalendárioAno,MONTH(AgoDom1+35)=8),AgoDom1+35,""))</f>
        <v/>
      </c>
    </row>
    <row r="40" spans="3:36" x14ac:dyDescent="0.2">
      <c r="C40" s="3" t="str">
        <f>IF(DAY(MaiDom1)=1,IF(AND(YEAR(MaiDom1+29)=CalendárioAno,MONTH(MaiDom1+29)=5),MaiDom1+29,""),IF(AND(YEAR(MaiDom1+36)=CalendárioAno,MONTH(MaiDom1+36)=5),MaiDom1+36,""))</f>
        <v/>
      </c>
      <c r="D40" s="3" t="str">
        <f>IF(DAY(MaiDom1)=1,IF(AND(YEAR(MaiDom1+30)=CalendárioAno,MONTH(MaiDom1+30)=5),MaiDom1+30,""),IF(AND(YEAR(MaiDom1+37)=CalendárioAno,MONTH(MaiDom1+37)=5),MaiDom1+37,""))</f>
        <v/>
      </c>
      <c r="E40" s="3" t="str">
        <f>IF(DAY(MaiDom1)=1,IF(AND(YEAR(MaiDom1+31)=CalendárioAno,MONTH(MaiDom1+31)=5),MaiDom1+31,""),IF(AND(YEAR(MaiDom1+38)=CalendárioAno,MONTH(MaiDom1+38)=5),MaiDom1+38,""))</f>
        <v/>
      </c>
      <c r="F40" s="3" t="str">
        <f>IF(DAY(MaiDom1)=1,IF(AND(YEAR(MaiDom1+32)=CalendárioAno,MONTH(MaiDom1+32)=5),MaiDom1+32,""),IF(AND(YEAR(MaiDom1+39)=CalendárioAno,MONTH(MaiDom1+39)=5),MaiDom1+39,""))</f>
        <v/>
      </c>
      <c r="G40" s="3" t="str">
        <f>IF(DAY(MaiDom1)=1,IF(AND(YEAR(MaiDom1+33)=CalendárioAno,MONTH(MaiDom1+33)=5),MaiDom1+33,""),IF(AND(YEAR(MaiDom1+40)=CalendárioAno,MONTH(MaiDom1+40)=5),MaiDom1+40,""))</f>
        <v/>
      </c>
      <c r="H40" s="3" t="str">
        <f>IF(DAY(MaiDom1)=1,IF(AND(YEAR(MaiDom1+34)=CalendárioAno,MONTH(MaiDom1+34)=5),MaiDom1+34,""),IF(AND(YEAR(MaiDom1+41)=CalendárioAno,MONTH(MaiDom1+41)=5),MaiDom1+41,""))</f>
        <v/>
      </c>
      <c r="I40" s="3" t="str">
        <f>IF(DAY(MaiDom1)=1,IF(AND(YEAR(MaiDom1+35)=CalendárioAno,MONTH(MaiDom1+35)=5),MaiDom1+35,""),IF(AND(YEAR(MaiDom1+42)=CalendárioAno,MONTH(MaiDom1+42)=5),MaiDom1+42,""))</f>
        <v/>
      </c>
      <c r="J40" s="11"/>
      <c r="K40" s="3"/>
      <c r="L40" s="3" t="str">
        <f>IF(DAY(JunDom1)=1,IF(AND(YEAR(JunDom1+29)=CalendárioAno,MONTH(JunDom1+29)=6),JunDom1+29,""),IF(AND(YEAR(JunDom1+36)=CalendárioAno,MONTH(JunDom1+36)=6),JunDom1+36,""))</f>
        <v/>
      </c>
      <c r="M40" s="3" t="str">
        <f>IF(DAY(JunDom1)=1,IF(AND(YEAR(JunDom1+30)=CalendárioAno,MONTH(JunDom1+30)=6),JunDom1+30,""),IF(AND(YEAR(JunDom1+37)=CalendárioAno,MONTH(JunDom1+37)=6),JunDom1+37,""))</f>
        <v/>
      </c>
      <c r="N40" s="3" t="str">
        <f>IF(DAY(JunDom1)=1,IF(AND(YEAR(JunDom1+31)=CalendárioAno,MONTH(JunDom1+31)=6),JunDom1+31,""),IF(AND(YEAR(JunDom1+38)=CalendárioAno,MONTH(JunDom1+38)=6),JunDom1+38,""))</f>
        <v/>
      </c>
      <c r="O40" s="3" t="str">
        <f>IF(DAY(JunDom1)=1,IF(AND(YEAR(JunDom1+32)=CalendárioAno,MONTH(JunDom1+32)=6),JunDom1+32,""),IF(AND(YEAR(JunDom1+39)=CalendárioAno,MONTH(JunDom1+39)=6),JunDom1+39,""))</f>
        <v/>
      </c>
      <c r="P40" s="3" t="str">
        <f>IF(DAY(JunDom1)=1,IF(AND(YEAR(JunDom1+33)=CalendárioAno,MONTH(JunDom1+33)=6),JunDom1+33,""),IF(AND(YEAR(JunDom1+40)=CalendárioAno,MONTH(JunDom1+40)=6),JunDom1+40,""))</f>
        <v/>
      </c>
      <c r="Q40" s="3" t="str">
        <f>IF(DAY(JunDom1)=1,IF(AND(YEAR(JunDom1+34)=CalendárioAno,MONTH(JunDom1+34)=6),JunDom1+34,""),IF(AND(YEAR(JunDom1+41)=CalendárioAno,MONTH(JunDom1+41)=6),JunDom1+41,""))</f>
        <v/>
      </c>
      <c r="R40" s="3" t="str">
        <f>IF(DAY(JunDom1)=1,IF(AND(YEAR(JunDom1+35)=CalendárioAno,MONTH(JunDom1+35)=6),JunDom1+35,""),IF(AND(YEAR(JunDom1+42)=CalendárioAno,MONTH(JunDom1+42)=6),JunDom1+42,""))</f>
        <v/>
      </c>
      <c r="S40" s="11"/>
      <c r="U40" s="3">
        <f>IF(DAY(JulDom1)=1,IF(AND(YEAR(JulDom1+29)=CalendárioAno,MONTH(JulDom1+29)=7),JulDom1+29,""),IF(AND(YEAR(JulDom1+36)=CalendárioAno,MONTH(JulDom1+36)=7),JulDom1+36,""))</f>
        <v>43311</v>
      </c>
      <c r="V40" s="3">
        <f>IF(DAY(JulDom1)=1,IF(AND(YEAR(JulDom1+30)=CalendárioAno,MONTH(JulDom1+30)=7),JulDom1+30,""),IF(AND(YEAR(JulDom1+37)=CalendárioAno,MONTH(JulDom1+37)=7),JulDom1+37,""))</f>
        <v>43312</v>
      </c>
      <c r="W40" s="3" t="str">
        <f>IF(DAY(JulDom1)=1,IF(AND(YEAR(JulDom1+31)=CalendárioAno,MONTH(JulDom1+31)=7),JulDom1+31,""),IF(AND(YEAR(JulDom1+38)=CalendárioAno,MONTH(JulDom1+38)=7),JulDom1+38,""))</f>
        <v/>
      </c>
      <c r="X40" s="3" t="str">
        <f>IF(DAY(JulDom1)=1,IF(AND(YEAR(JulDom1+32)=CalendárioAno,MONTH(JulDom1+32)=7),JulDom1+32,""),IF(AND(YEAR(JulDom1+39)=CalendárioAno,MONTH(JulDom1+39)=7),JulDom1+39,""))</f>
        <v/>
      </c>
      <c r="Y40" s="3" t="str">
        <f>IF(DAY(JulDom1)=1,IF(AND(YEAR(JulDom1+33)=CalendárioAno,MONTH(JulDom1+33)=7),JulDom1+33,""),IF(AND(YEAR(JulDom1+40)=CalendárioAno,MONTH(JulDom1+40)=7),JulDom1+40,""))</f>
        <v/>
      </c>
      <c r="Z40" s="3" t="str">
        <f>IF(DAY(JulDom1)=1,IF(AND(YEAR(JulDom1+34)=CalendárioAno,MONTH(JulDom1+34)=7),JulDom1+34,""),IF(AND(YEAR(JulDom1+41)=CalendárioAno,MONTH(JulDom1+41)=7),JulDom1+41,""))</f>
        <v/>
      </c>
      <c r="AA40" s="3" t="str">
        <f>IF(DAY(JulDom1)=1,IF(AND(YEAR(JulDom1+35)=CalendárioAno,MONTH(JulDom1+35)=7),JulDom1+35,""),IF(AND(YEAR(JulDom1+42)=CalendárioAno,MONTH(JulDom1+42)=7),JulDom1+42,""))</f>
        <v/>
      </c>
      <c r="AB40" s="11"/>
      <c r="AC40" s="5"/>
      <c r="AD40" s="3" t="str">
        <f>IF(DAY(AgoDom1)=1,IF(AND(YEAR(AgoDom1+29)=CalendárioAno,MONTH(AgoDom1+29)=8),AgoDom1+29,""),IF(AND(YEAR(AgoDom1+36)=CalendárioAno,MONTH(AgoDom1+36)=8),AgoDom1+36,""))</f>
        <v/>
      </c>
      <c r="AE40" s="3" t="str">
        <f>IF(DAY(AgoDom1)=1,IF(AND(YEAR(AgoDom1+30)=CalendárioAno,MONTH(AgoDom1+30)=8),AgoDom1+30,""),IF(AND(YEAR(AgoDom1+37)=CalendárioAno,MONTH(AgoDom1+37)=8),AgoDom1+37,""))</f>
        <v/>
      </c>
      <c r="AF40" s="3" t="str">
        <f>IF(DAY(AgoDom1)=1,IF(AND(YEAR(AgoDom1+31)=CalendárioAno,MONTH(AgoDom1+31)=8),AgoDom1+31,""),IF(AND(YEAR(AgoDom1+38)=CalendárioAno,MONTH(AgoDom1+38)=8),AgoDom1+38,""))</f>
        <v/>
      </c>
      <c r="AG40" s="3" t="str">
        <f>IF(DAY(AgoDom1)=1,IF(AND(YEAR(AgoDom1+32)=CalendárioAno,MONTH(AgoDom1+32)=8),AgoDom1+32,""),IF(AND(YEAR(AgoDom1+39)=CalendárioAno,MONTH(AgoDom1+39)=8),AgoDom1+39,""))</f>
        <v/>
      </c>
      <c r="AH40" s="3" t="str">
        <f>IF(DAY(AgoDom1)=1,IF(AND(YEAR(AgoDom1+33)=CalendárioAno,MONTH(AgoDom1+33)=8),AgoDom1+33,""),IF(AND(YEAR(AgoDom1+40)=CalendárioAno,MONTH(AgoDom1+40)=8),AgoDom1+40,""))</f>
        <v/>
      </c>
      <c r="AI40" s="3" t="str">
        <f>IF(DAY(AgoDom1)=1,IF(AND(YEAR(AgoDom1+34)=CalendárioAno,MONTH(AgoDom1+34)=8),AgoDom1+34,""),IF(AND(YEAR(AgoDom1+41)=CalendárioAno,MONTH(AgoDom1+41)=8),AgoDom1+41,""))</f>
        <v/>
      </c>
      <c r="AJ40" s="3" t="str">
        <f>IF(DAY(AgoDom1)=1,IF(AND(YEAR(AgoDom1+35)=CalendárioAno,MONTH(AgoDom1+35)=8),AgoDom1+35,""),IF(AND(YEAR(AgoDom1+42)=CalendárioAno,MONTH(AgoDom1+42)=8),AgoDom1+42,""))</f>
        <v/>
      </c>
    </row>
    <row r="41" spans="3:36" x14ac:dyDescent="0.2">
      <c r="C41" s="5"/>
      <c r="D41" s="5"/>
      <c r="E41" s="5"/>
      <c r="F41" s="5"/>
      <c r="G41" s="5"/>
      <c r="H41" s="5"/>
      <c r="I41" s="5"/>
      <c r="J41" s="12"/>
      <c r="K41" s="3"/>
      <c r="L41" s="5"/>
      <c r="M41" s="5"/>
      <c r="N41" s="5"/>
      <c r="O41" s="5"/>
      <c r="P41" s="5"/>
      <c r="Q41" s="5"/>
      <c r="R41" s="5"/>
      <c r="S41" s="12"/>
      <c r="U41" s="3"/>
      <c r="V41" s="3"/>
      <c r="W41" s="3"/>
      <c r="X41" s="3"/>
      <c r="Y41" s="3"/>
      <c r="Z41" s="3"/>
      <c r="AA41" s="3"/>
      <c r="AB41" s="11"/>
      <c r="AC41" s="5"/>
      <c r="AD41" s="3"/>
      <c r="AE41" s="3"/>
      <c r="AF41" s="3"/>
      <c r="AG41" s="3"/>
      <c r="AH41" s="3"/>
      <c r="AI41" s="3"/>
      <c r="AJ41" s="3"/>
    </row>
    <row r="42" spans="3:36" ht="15.75" x14ac:dyDescent="0.25">
      <c r="C42" s="37">
        <f>DATE(CalendárioAno,9,1)</f>
        <v>43344</v>
      </c>
      <c r="D42" s="37"/>
      <c r="E42" s="37"/>
      <c r="F42" s="37"/>
      <c r="G42" s="37"/>
      <c r="H42" s="37"/>
      <c r="I42" s="37"/>
      <c r="J42" s="9"/>
      <c r="K42" s="5"/>
      <c r="L42" s="37">
        <f>DATE(CalendárioAno,10,1)</f>
        <v>43374</v>
      </c>
      <c r="M42" s="37"/>
      <c r="N42" s="37"/>
      <c r="O42" s="37"/>
      <c r="P42" s="37"/>
      <c r="Q42" s="37"/>
      <c r="R42" s="37"/>
      <c r="S42" s="9"/>
      <c r="U42" s="37">
        <f>DATE(CalendárioAno,11,1)</f>
        <v>43405</v>
      </c>
      <c r="V42" s="37"/>
      <c r="W42" s="37"/>
      <c r="X42" s="37"/>
      <c r="Y42" s="37"/>
      <c r="Z42" s="37"/>
      <c r="AA42" s="37"/>
      <c r="AB42" s="9"/>
      <c r="AC42" s="5"/>
      <c r="AD42" s="37">
        <f>DATE(CalendárioAno,12,1)</f>
        <v>43435</v>
      </c>
      <c r="AE42" s="37"/>
      <c r="AF42" s="37"/>
      <c r="AG42" s="37"/>
      <c r="AH42" s="37"/>
      <c r="AI42" s="37"/>
      <c r="AJ42" s="37"/>
    </row>
    <row r="43" spans="3:36" ht="15" x14ac:dyDescent="0.25">
      <c r="C43" s="8" t="s">
        <v>0</v>
      </c>
      <c r="D43" s="8" t="s">
        <v>1</v>
      </c>
      <c r="E43" s="8" t="s">
        <v>3</v>
      </c>
      <c r="F43" s="8" t="s">
        <v>3</v>
      </c>
      <c r="G43" s="8" t="s">
        <v>0</v>
      </c>
      <c r="H43" s="8" t="s">
        <v>0</v>
      </c>
      <c r="I43" s="8" t="s">
        <v>4</v>
      </c>
      <c r="J43" s="10"/>
      <c r="K43" s="5"/>
      <c r="L43" s="8" t="s">
        <v>0</v>
      </c>
      <c r="M43" s="8" t="s">
        <v>1</v>
      </c>
      <c r="N43" s="8" t="s">
        <v>3</v>
      </c>
      <c r="O43" s="8" t="s">
        <v>3</v>
      </c>
      <c r="P43" s="8" t="s">
        <v>0</v>
      </c>
      <c r="Q43" s="8" t="s">
        <v>0</v>
      </c>
      <c r="R43" s="8" t="s">
        <v>4</v>
      </c>
      <c r="S43" s="10"/>
      <c r="U43" s="8" t="s">
        <v>0</v>
      </c>
      <c r="V43" s="8" t="s">
        <v>1</v>
      </c>
      <c r="W43" s="8" t="s">
        <v>3</v>
      </c>
      <c r="X43" s="8" t="s">
        <v>3</v>
      </c>
      <c r="Y43" s="8" t="s">
        <v>0</v>
      </c>
      <c r="Z43" s="8" t="s">
        <v>0</v>
      </c>
      <c r="AA43" s="8" t="s">
        <v>4</v>
      </c>
      <c r="AB43" s="10"/>
      <c r="AC43" s="7"/>
      <c r="AD43" s="8" t="s">
        <v>0</v>
      </c>
      <c r="AE43" s="8" t="s">
        <v>1</v>
      </c>
      <c r="AF43" s="8" t="s">
        <v>3</v>
      </c>
      <c r="AG43" s="8" t="s">
        <v>3</v>
      </c>
      <c r="AH43" s="8" t="s">
        <v>0</v>
      </c>
      <c r="AI43" s="8" t="s">
        <v>0</v>
      </c>
      <c r="AJ43" s="8" t="s">
        <v>4</v>
      </c>
    </row>
    <row r="44" spans="3:36" x14ac:dyDescent="0.2">
      <c r="C44" s="3" t="str">
        <f>IF(DAY(SetDom1)=1,"",IF(AND(YEAR(SetDom1+1)=CalendárioAno,MONTH(SetDom1+1)=9),SetDom1+1,""))</f>
        <v/>
      </c>
      <c r="D44" s="19" t="str">
        <f>IF(DAY(SetDom1)=1,"",IF(AND(YEAR(SetDom1+2)=CalendárioAno,MONTH(SetDom1+2)=9),SetDom1+2,""))</f>
        <v/>
      </c>
      <c r="E44" s="3" t="str">
        <f>IF(DAY(SetDom1)=1,"",IF(AND(YEAR(SetDom1+3)=CalendárioAno,MONTH(SetDom1+3)=9),SetDom1+3,""))</f>
        <v/>
      </c>
      <c r="F44" s="3" t="str">
        <f>IF(DAY(SetDom1)=1,"",IF(AND(YEAR(SetDom1+4)=CalendárioAno,MONTH(SetDom1+4)=9),SetDom1+4,""))</f>
        <v/>
      </c>
      <c r="G44" s="3" t="str">
        <f>IF(DAY(SetDom1)=1,"",IF(AND(YEAR(SetDom1+5)=CalendárioAno,MONTH(SetDom1+5)=9),SetDom1+5,""))</f>
        <v/>
      </c>
      <c r="H44" s="3">
        <f>IF(DAY(SetDom1)=1,"",IF(AND(YEAR(SetDom1+6)=CalendárioAno,MONTH(SetDom1+6)=9),SetDom1+6,""))</f>
        <v>43344</v>
      </c>
      <c r="I44" s="3">
        <f>IF(DAY(SetDom1)=1,IF(AND(YEAR(SetDom1)=CalendárioAno,MONTH(SetDom1)=9),SetDom1,""),IF(AND(YEAR(SetDom1+7)=CalendárioAno,MONTH(SetDom1+7)=9),SetDom1+7,""))</f>
        <v>43345</v>
      </c>
      <c r="J44" s="11"/>
      <c r="K44" s="5"/>
      <c r="L44" s="3">
        <f>IF(DAY(OutDom1)=1,"",IF(AND(YEAR(OutDom1+1)=CalendárioAno,MONTH(OutDom1+1)=10),OutDom1+1,""))</f>
        <v>43374</v>
      </c>
      <c r="M44" s="3">
        <f>IF(DAY(OutDom1)=1,"",IF(AND(YEAR(OutDom1+2)=CalendárioAno,MONTH(OutDom1+2)=10),OutDom1+2,""))</f>
        <v>43375</v>
      </c>
      <c r="N44" s="3">
        <f>IF(DAY(OutDom1)=1,"",IF(AND(YEAR(OutDom1+3)=CalendárioAno,MONTH(OutDom1+3)=10),OutDom1+3,""))</f>
        <v>43376</v>
      </c>
      <c r="O44" s="3">
        <f>IF(DAY(OutDom1)=1,"",IF(AND(YEAR(OutDom1+4)=CalendárioAno,MONTH(OutDom1+4)=10),OutDom1+4,""))</f>
        <v>43377</v>
      </c>
      <c r="P44" s="3">
        <f>IF(DAY(OutDom1)=1,"",IF(AND(YEAR(OutDom1+5)=CalendárioAno,MONTH(OutDom1+5)=10),OutDom1+5,""))</f>
        <v>43378</v>
      </c>
      <c r="Q44" s="3">
        <f>IF(DAY(OutDom1)=1,"",IF(AND(YEAR(OutDom1+6)=CalendárioAno,MONTH(OutDom1+6)=10),OutDom1+6,""))</f>
        <v>43379</v>
      </c>
      <c r="R44" s="3">
        <f>IF(DAY(OutDom1)=1,IF(AND(YEAR(OutDom1)=CalendárioAno,MONTH(OutDom1)=10),OutDom1,""),IF(AND(YEAR(OutDom1+7)=CalendárioAno,MONTH(OutDom1+7)=10),OutDom1+7,""))</f>
        <v>43380</v>
      </c>
      <c r="S44" s="11"/>
      <c r="U44" s="3" t="str">
        <f>IF(DAY(NovDom1)=1,"",IF(AND(YEAR(NovDom1+1)=CalendárioAno,MONTH(NovDom1+1)=11),NovDom1+1,""))</f>
        <v/>
      </c>
      <c r="V44" s="3" t="str">
        <f>IF(DAY(NovDom1)=1,"",IF(AND(YEAR(NovDom1+2)=CalendárioAno,MONTH(NovDom1+2)=11),NovDom1+2,""))</f>
        <v/>
      </c>
      <c r="W44" s="3" t="str">
        <f>IF(DAY(NovDom1)=1,"",IF(AND(YEAR(NovDom1+3)=CalendárioAno,MONTH(NovDom1+3)=11),NovDom1+3,""))</f>
        <v/>
      </c>
      <c r="X44" s="3">
        <f>IF(DAY(NovDom1)=1,"",IF(AND(YEAR(NovDom1+4)=CalendárioAno,MONTH(NovDom1+4)=11),NovDom1+4,""))</f>
        <v>43405</v>
      </c>
      <c r="Y44" s="3">
        <f>IF(DAY(NovDom1)=1,"",IF(AND(YEAR(NovDom1+5)=CalendárioAno,MONTH(NovDom1+5)=11),NovDom1+5,""))</f>
        <v>43406</v>
      </c>
      <c r="Z44" s="3">
        <f>IF(DAY(NovDom1)=1,"",IF(AND(YEAR(NovDom1+6)=CalendárioAno,MONTH(NovDom1+6)=11),NovDom1+6,""))</f>
        <v>43407</v>
      </c>
      <c r="AA44" s="3">
        <f>IF(DAY(NovDom1)=1,IF(AND(YEAR(NovDom1)=CalendárioAno,MONTH(NovDom1)=11),NovDom1,""),IF(AND(YEAR(NovDom1+7)=CalendárioAno,MONTH(NovDom1+7)=11),NovDom1+7,""))</f>
        <v>43408</v>
      </c>
      <c r="AB44" s="11"/>
      <c r="AC44" s="5"/>
      <c r="AD44" s="3" t="str">
        <f>IF(DAY(DezDom1)=1,"",IF(AND(YEAR(DezDom1+1)=CalendárioAno,MONTH(DezDom1+1)=12),DezDom1+1,""))</f>
        <v/>
      </c>
      <c r="AE44" s="19" t="str">
        <f>IF(DAY(DezDom1)=1,"",IF(AND(YEAR(DezDom1+2)=CalendárioAno,MONTH(DezDom1+2)=12),DezDom1+2,""))</f>
        <v/>
      </c>
      <c r="AF44" s="3" t="str">
        <f>IF(DAY(DezDom1)=1,"",IF(AND(YEAR(DezDom1+3)=CalendárioAno,MONTH(DezDom1+3)=12),DezDom1+3,""))</f>
        <v/>
      </c>
      <c r="AG44" s="3" t="str">
        <f>IF(DAY(DezDom1)=1,"",IF(AND(YEAR(DezDom1+4)=CalendárioAno,MONTH(DezDom1+4)=12),DezDom1+4,""))</f>
        <v/>
      </c>
      <c r="AH44" s="3" t="str">
        <f>IF(DAY(DezDom1)=1,"",IF(AND(YEAR(DezDom1+5)=CalendárioAno,MONTH(DezDom1+5)=12),DezDom1+5,""))</f>
        <v/>
      </c>
      <c r="AI44" s="3">
        <f>IF(DAY(DezDom1)=1,"",IF(AND(YEAR(DezDom1+6)=CalendárioAno,MONTH(DezDom1+6)=12),DezDom1+6,""))</f>
        <v>43435</v>
      </c>
      <c r="AJ44" s="3">
        <f>IF(DAY(DezDom1)=1,IF(AND(YEAR(DezDom1)=CalendárioAno,MONTH(DezDom1)=12),DezDom1,""),IF(AND(YEAR(DezDom1+7)=CalendárioAno,MONTH(DezDom1+7)=12),DezDom1+7,""))</f>
        <v>43436</v>
      </c>
    </row>
    <row r="45" spans="3:36" x14ac:dyDescent="0.2">
      <c r="C45" s="3">
        <f>IF(DAY(SetDom1)=1,IF(AND(YEAR(SetDom1+1)=CalendárioAno,MONTH(SetDom1+1)=9),SetDom1+1,""),IF(AND(YEAR(SetDom1+8)=CalendárioAno,MONTH(SetDom1+8)=9),SetDom1+8,""))</f>
        <v>43346</v>
      </c>
      <c r="D45" s="3">
        <f>IF(DAY(SetDom1)=1,IF(AND(YEAR(SetDom1+2)=CalendárioAno,MONTH(SetDom1+2)=9),SetDom1+2,""),IF(AND(YEAR(SetDom1+9)=CalendárioAno,MONTH(SetDom1+9)=9),SetDom1+9,""))</f>
        <v>43347</v>
      </c>
      <c r="E45" s="3">
        <f>IF(DAY(SetDom1)=1,IF(AND(YEAR(SetDom1+3)=CalendárioAno,MONTH(SetDom1+3)=9),SetDom1+3,""),IF(AND(YEAR(SetDom1+10)=CalendárioAno,MONTH(SetDom1+10)=9),SetDom1+10,""))</f>
        <v>43348</v>
      </c>
      <c r="F45" s="3">
        <f>IF(DAY(SetDom1)=1,IF(AND(YEAR(SetDom1+4)=CalendárioAno,MONTH(SetDom1+4)=9),SetDom1+4,""),IF(AND(YEAR(SetDom1+11)=CalendárioAno,MONTH(SetDom1+11)=9),SetDom1+11,""))</f>
        <v>43349</v>
      </c>
      <c r="G45" s="3">
        <f>IF(DAY(SetDom1)=1,IF(AND(YEAR(SetDom1+5)=CalendárioAno,MONTH(SetDom1+5)=9),SetDom1+5,""),IF(AND(YEAR(SetDom1+12)=CalendárioAno,MONTH(SetDom1+12)=9),SetDom1+12,""))</f>
        <v>43350</v>
      </c>
      <c r="H45" s="3">
        <f>IF(DAY(SetDom1)=1,IF(AND(YEAR(SetDom1+6)=CalendárioAno,MONTH(SetDom1+6)=9),SetDom1+6,""),IF(AND(YEAR(SetDom1+13)=CalendárioAno,MONTH(SetDom1+13)=9),SetDom1+13,""))</f>
        <v>43351</v>
      </c>
      <c r="I45" s="3">
        <f>IF(DAY(SetDom1)=1,IF(AND(YEAR(SetDom1+7)=CalendárioAno,MONTH(SetDom1+7)=9),SetDom1+7,""),IF(AND(YEAR(SetDom1+14)=CalendárioAno,MONTH(SetDom1+14)=9),SetDom1+14,""))</f>
        <v>43352</v>
      </c>
      <c r="J45" s="11"/>
      <c r="K45" s="5"/>
      <c r="L45" s="3">
        <f>IF(DAY(OutDom1)=1,IF(AND(YEAR(OutDom1+1)=CalendárioAno,MONTH(OutDom1+1)=10),OutDom1+1,""),IF(AND(YEAR(OutDom1+8)=CalendárioAno,MONTH(OutDom1+8)=10),OutDom1+8,""))</f>
        <v>43381</v>
      </c>
      <c r="M45" s="19">
        <f>IF(DAY(OutDom1)=1,IF(AND(YEAR(OutDom1+2)=CalendárioAno,MONTH(OutDom1+2)=10),OutDom1+2,""),IF(AND(YEAR(OutDom1+9)=CalendárioAno,MONTH(OutDom1+9)=10),OutDom1+9,""))</f>
        <v>43382</v>
      </c>
      <c r="N45" s="3">
        <f>IF(DAY(OutDom1)=1,IF(AND(YEAR(OutDom1+3)=CalendárioAno,MONTH(OutDom1+3)=10),OutDom1+3,""),IF(AND(YEAR(OutDom1+10)=CalendárioAno,MONTH(OutDom1+10)=10),OutDom1+10,""))</f>
        <v>43383</v>
      </c>
      <c r="O45" s="3">
        <f>IF(DAY(OutDom1)=1,IF(AND(YEAR(OutDom1+4)=CalendárioAno,MONTH(OutDom1+4)=10),OutDom1+4,""),IF(AND(YEAR(OutDom1+11)=CalendárioAno,MONTH(OutDom1+11)=10),OutDom1+11,""))</f>
        <v>43384</v>
      </c>
      <c r="P45" s="3">
        <f>IF(DAY(OutDom1)=1,IF(AND(YEAR(OutDom1+5)=CalendárioAno,MONTH(OutDom1+5)=10),OutDom1+5,""),IF(AND(YEAR(OutDom1+12)=CalendárioAno,MONTH(OutDom1+12)=10),OutDom1+12,""))</f>
        <v>43385</v>
      </c>
      <c r="Q45" s="3">
        <f>IF(DAY(OutDom1)=1,IF(AND(YEAR(OutDom1+6)=CalendárioAno,MONTH(OutDom1+6)=10),OutDom1+6,""),IF(AND(YEAR(OutDom1+13)=CalendárioAno,MONTH(OutDom1+13)=10),OutDom1+13,""))</f>
        <v>43386</v>
      </c>
      <c r="R45" s="3">
        <f>IF(DAY(OutDom1)=1,IF(AND(YEAR(OutDom1+7)=CalendárioAno,MONTH(OutDom1+7)=10),OutDom1+7,""),IF(AND(YEAR(OutDom1+14)=CalendárioAno,MONTH(OutDom1+14)=10),OutDom1+14,""))</f>
        <v>43387</v>
      </c>
      <c r="S45" s="11"/>
      <c r="U45" s="3">
        <f>IF(DAY(NovDom1)=1,IF(AND(YEAR(NovDom1+1)=CalendárioAno,MONTH(NovDom1+1)=11),NovDom1+1,""),IF(AND(YEAR(NovDom1+8)=CalendárioAno,MONTH(NovDom1+8)=11),NovDom1+8,""))</f>
        <v>43409</v>
      </c>
      <c r="V45" s="19">
        <f>IF(DAY(NovDom1)=1,IF(AND(YEAR(NovDom1+2)=CalendárioAno,MONTH(NovDom1+2)=11),NovDom1+2,""),IF(AND(YEAR(NovDom1+9)=CalendárioAno,MONTH(NovDom1+9)=11),NovDom1+9,""))</f>
        <v>43410</v>
      </c>
      <c r="W45" s="3">
        <f>IF(DAY(NovDom1)=1,IF(AND(YEAR(NovDom1+3)=CalendárioAno,MONTH(NovDom1+3)=11),NovDom1+3,""),IF(AND(YEAR(NovDom1+10)=CalendárioAno,MONTH(NovDom1+10)=11),NovDom1+10,""))</f>
        <v>43411</v>
      </c>
      <c r="X45" s="3">
        <f>IF(DAY(NovDom1)=1,IF(AND(YEAR(NovDom1+4)=CalendárioAno,MONTH(NovDom1+4)=11),NovDom1+4,""),IF(AND(YEAR(NovDom1+11)=CalendárioAno,MONTH(NovDom1+11)=11),NovDom1+11,""))</f>
        <v>43412</v>
      </c>
      <c r="Y45" s="3">
        <f>IF(DAY(NovDom1)=1,IF(AND(YEAR(NovDom1+5)=CalendárioAno,MONTH(NovDom1+5)=11),NovDom1+5,""),IF(AND(YEAR(NovDom1+12)=CalendárioAno,MONTH(NovDom1+12)=11),NovDom1+12,""))</f>
        <v>43413</v>
      </c>
      <c r="Z45" s="3">
        <f>IF(DAY(NovDom1)=1,IF(AND(YEAR(NovDom1+6)=CalendárioAno,MONTH(NovDom1+6)=11),NovDom1+6,""),IF(AND(YEAR(NovDom1+13)=CalendárioAno,MONTH(NovDom1+13)=11),NovDom1+13,""))</f>
        <v>43414</v>
      </c>
      <c r="AA45" s="3">
        <f>IF(DAY(NovDom1)=1,IF(AND(YEAR(NovDom1+7)=CalendárioAno,MONTH(NovDom1+7)=11),NovDom1+7,""),IF(AND(YEAR(NovDom1+14)=CalendárioAno,MONTH(NovDom1+14)=11),NovDom1+14,""))</f>
        <v>43415</v>
      </c>
      <c r="AB45" s="11"/>
      <c r="AC45" s="5"/>
      <c r="AD45" s="3">
        <f>IF(DAY(DezDom1)=1,IF(AND(YEAR(DezDom1+1)=CalendárioAno,MONTH(DezDom1+1)=12),DezDom1+1,""),IF(AND(YEAR(DezDom1+8)=CalendárioAno,MONTH(DezDom1+8)=12),DezDom1+8,""))</f>
        <v>43437</v>
      </c>
      <c r="AE45" s="3">
        <f>IF(DAY(DezDom1)=1,IF(AND(YEAR(DezDom1+2)=CalendárioAno,MONTH(DezDom1+2)=12),DezDom1+2,""),IF(AND(YEAR(DezDom1+9)=CalendárioAno,MONTH(DezDom1+9)=12),DezDom1+9,""))</f>
        <v>43438</v>
      </c>
      <c r="AF45" s="3">
        <f>IF(DAY(DezDom1)=1,IF(AND(YEAR(DezDom1+3)=CalendárioAno,MONTH(DezDom1+3)=12),DezDom1+3,""),IF(AND(YEAR(DezDom1+10)=CalendárioAno,MONTH(DezDom1+10)=12),DezDom1+10,""))</f>
        <v>43439</v>
      </c>
      <c r="AG45" s="3">
        <f>IF(DAY(DezDom1)=1,IF(AND(YEAR(DezDom1+4)=CalendárioAno,MONTH(DezDom1+4)=12),DezDom1+4,""),IF(AND(YEAR(DezDom1+11)=CalendárioAno,MONTH(DezDom1+11)=12),DezDom1+11,""))</f>
        <v>43440</v>
      </c>
      <c r="AH45" s="3">
        <f>IF(DAY(DezDom1)=1,IF(AND(YEAR(DezDom1+5)=CalendárioAno,MONTH(DezDom1+5)=12),DezDom1+5,""),IF(AND(YEAR(DezDom1+12)=CalendárioAno,MONTH(DezDom1+12)=12),DezDom1+12,""))</f>
        <v>43441</v>
      </c>
      <c r="AI45" s="3">
        <f>IF(DAY(DezDom1)=1,IF(AND(YEAR(DezDom1+6)=CalendárioAno,MONTH(DezDom1+6)=12),DezDom1+6,""),IF(AND(YEAR(DezDom1+13)=CalendárioAno,MONTH(DezDom1+13)=12),DezDom1+13,""))</f>
        <v>43442</v>
      </c>
      <c r="AJ45" s="3">
        <f>IF(DAY(DezDom1)=1,IF(AND(YEAR(DezDom1+7)=CalendárioAno,MONTH(DezDom1+7)=12),DezDom1+7,""),IF(AND(YEAR(DezDom1+14)=CalendárioAno,MONTH(DezDom1+14)=12),DezDom1+14,""))</f>
        <v>43443</v>
      </c>
    </row>
    <row r="46" spans="3:36" x14ac:dyDescent="0.2">
      <c r="C46" s="3">
        <f>IF(DAY(SetDom1)=1,IF(AND(YEAR(SetDom1+8)=CalendárioAno,MONTH(SetDom1+8)=9),SetDom1+8,""),IF(AND(YEAR(SetDom1+15)=CalendárioAno,MONTH(SetDom1+15)=9),SetDom1+15,""))</f>
        <v>43353</v>
      </c>
      <c r="D46" s="3">
        <f>IF(DAY(SetDom1)=1,IF(AND(YEAR(SetDom1+9)=CalendárioAno,MONTH(SetDom1+9)=9),SetDom1+9,""),IF(AND(YEAR(SetDom1+16)=CalendárioAno,MONTH(SetDom1+16)=9),SetDom1+16,""))</f>
        <v>43354</v>
      </c>
      <c r="E46" s="3">
        <f>IF(DAY(SetDom1)=1,IF(AND(YEAR(SetDom1+10)=CalendárioAno,MONTH(SetDom1+10)=9),SetDom1+10,""),IF(AND(YEAR(SetDom1+17)=CalendárioAno,MONTH(SetDom1+17)=9),SetDom1+17,""))</f>
        <v>43355</v>
      </c>
      <c r="F46" s="3">
        <f>IF(DAY(SetDom1)=1,IF(AND(YEAR(SetDom1+11)=CalendárioAno,MONTH(SetDom1+11)=9),SetDom1+11,""),IF(AND(YEAR(SetDom1+18)=CalendárioAno,MONTH(SetDom1+18)=9),SetDom1+18,""))</f>
        <v>43356</v>
      </c>
      <c r="G46" s="3">
        <f>IF(DAY(SetDom1)=1,IF(AND(YEAR(SetDom1+12)=CalendárioAno,MONTH(SetDom1+12)=9),SetDom1+12,""),IF(AND(YEAR(SetDom1+19)=CalendárioAno,MONTH(SetDom1+19)=9),SetDom1+19,""))</f>
        <v>43357</v>
      </c>
      <c r="H46" s="3">
        <f>IF(DAY(SetDom1)=1,IF(AND(YEAR(SetDom1+13)=CalendárioAno,MONTH(SetDom1+13)=9),SetDom1+13,""),IF(AND(YEAR(SetDom1+20)=CalendárioAno,MONTH(SetDom1+20)=9),SetDom1+20,""))</f>
        <v>43358</v>
      </c>
      <c r="I46" s="3">
        <f>IF(DAY(SetDom1)=1,IF(AND(YEAR(SetDom1+14)=CalendárioAno,MONTH(SetDom1+14)=9),SetDom1+14,""),IF(AND(YEAR(SetDom1+21)=CalendárioAno,MONTH(SetDom1+21)=9),SetDom1+21,""))</f>
        <v>43359</v>
      </c>
      <c r="J46" s="11"/>
      <c r="K46" s="5"/>
      <c r="L46" s="3">
        <f>IF(DAY(OutDom1)=1,IF(AND(YEAR(OutDom1+8)=CalendárioAno,MONTH(OutDom1+8)=10),OutDom1+8,""),IF(AND(YEAR(OutDom1+15)=CalendárioAno,MONTH(OutDom1+15)=10),OutDom1+15,""))</f>
        <v>43388</v>
      </c>
      <c r="M46" s="3">
        <f>IF(DAY(OutDom1)=1,IF(AND(YEAR(OutDom1+9)=CalendárioAno,MONTH(OutDom1+9)=10),OutDom1+9,""),IF(AND(YEAR(OutDom1+16)=CalendárioAno,MONTH(OutDom1+16)=10),OutDom1+16,""))</f>
        <v>43389</v>
      </c>
      <c r="N46" s="3">
        <f>IF(DAY(OutDom1)=1,IF(AND(YEAR(OutDom1+10)=CalendárioAno,MONTH(OutDom1+10)=10),OutDom1+10,""),IF(AND(YEAR(OutDom1+17)=CalendárioAno,MONTH(OutDom1+17)=10),OutDom1+17,""))</f>
        <v>43390</v>
      </c>
      <c r="O46" s="3">
        <f>IF(DAY(OutDom1)=1,IF(AND(YEAR(OutDom1+11)=CalendárioAno,MONTH(OutDom1+11)=10),OutDom1+11,""),IF(AND(YEAR(OutDom1+18)=CalendárioAno,MONTH(OutDom1+18)=10),OutDom1+18,""))</f>
        <v>43391</v>
      </c>
      <c r="P46" s="3">
        <f>IF(DAY(OutDom1)=1,IF(AND(YEAR(OutDom1+12)=CalendárioAno,MONTH(OutDom1+12)=10),OutDom1+12,""),IF(AND(YEAR(OutDom1+19)=CalendárioAno,MONTH(OutDom1+19)=10),OutDom1+19,""))</f>
        <v>43392</v>
      </c>
      <c r="Q46" s="3">
        <f>IF(DAY(OutDom1)=1,IF(AND(YEAR(OutDom1+13)=CalendárioAno,MONTH(OutDom1+13)=10),OutDom1+13,""),IF(AND(YEAR(OutDom1+20)=CalendárioAno,MONTH(OutDom1+20)=10),OutDom1+20,""))</f>
        <v>43393</v>
      </c>
      <c r="R46" s="3">
        <f>IF(DAY(OutDom1)=1,IF(AND(YEAR(OutDom1+14)=CalendárioAno,MONTH(OutDom1+14)=10),OutDom1+14,""),IF(AND(YEAR(OutDom1+21)=CalendárioAno,MONTH(OutDom1+21)=10),OutDom1+21,""))</f>
        <v>43394</v>
      </c>
      <c r="S46" s="11"/>
      <c r="U46" s="3">
        <f>IF(DAY(NovDom1)=1,IF(AND(YEAR(NovDom1+8)=CalendárioAno,MONTH(NovDom1+8)=11),NovDom1+8,""),IF(AND(YEAR(NovDom1+15)=CalendárioAno,MONTH(NovDom1+15)=11),NovDom1+15,""))</f>
        <v>43416</v>
      </c>
      <c r="V46" s="3">
        <f>IF(DAY(NovDom1)=1,IF(AND(YEAR(NovDom1+9)=CalendárioAno,MONTH(NovDom1+9)=11),NovDom1+9,""),IF(AND(YEAR(NovDom1+16)=CalendárioAno,MONTH(NovDom1+16)=11),NovDom1+16,""))</f>
        <v>43417</v>
      </c>
      <c r="W46" s="3">
        <f>IF(DAY(NovDom1)=1,IF(AND(YEAR(NovDom1+10)=CalendárioAno,MONTH(NovDom1+10)=11),NovDom1+10,""),IF(AND(YEAR(NovDom1+17)=CalendárioAno,MONTH(NovDom1+17)=11),NovDom1+17,""))</f>
        <v>43418</v>
      </c>
      <c r="X46" s="3">
        <f>IF(DAY(NovDom1)=1,IF(AND(YEAR(NovDom1+11)=CalendárioAno,MONTH(NovDom1+11)=11),NovDom1+11,""),IF(AND(YEAR(NovDom1+18)=CalendárioAno,MONTH(NovDom1+18)=11),NovDom1+18,""))</f>
        <v>43419</v>
      </c>
      <c r="Y46" s="3">
        <f>IF(DAY(NovDom1)=1,IF(AND(YEAR(NovDom1+12)=CalendárioAno,MONTH(NovDom1+12)=11),NovDom1+12,""),IF(AND(YEAR(NovDom1+19)=CalendárioAno,MONTH(NovDom1+19)=11),NovDom1+19,""))</f>
        <v>43420</v>
      </c>
      <c r="Z46" s="3">
        <f>IF(DAY(NovDom1)=1,IF(AND(YEAR(NovDom1+13)=CalendárioAno,MONTH(NovDom1+13)=11),NovDom1+13,""),IF(AND(YEAR(NovDom1+20)=CalendárioAno,MONTH(NovDom1+20)=11),NovDom1+20,""))</f>
        <v>43421</v>
      </c>
      <c r="AA46" s="3">
        <f>IF(DAY(NovDom1)=1,IF(AND(YEAR(NovDom1+14)=CalendárioAno,MONTH(NovDom1+14)=11),NovDom1+14,""),IF(AND(YEAR(NovDom1+21)=CalendárioAno,MONTH(NovDom1+21)=11),NovDom1+21,""))</f>
        <v>43422</v>
      </c>
      <c r="AB46" s="11"/>
      <c r="AC46" s="5"/>
      <c r="AD46" s="3">
        <f>IF(DAY(DezDom1)=1,IF(AND(YEAR(DezDom1+8)=CalendárioAno,MONTH(DezDom1+8)=12),DezDom1+8,""),IF(AND(YEAR(DezDom1+15)=CalendárioAno,MONTH(DezDom1+15)=12),DezDom1+15,""))</f>
        <v>43444</v>
      </c>
      <c r="AE46" s="3">
        <f>IF(DAY(DezDom1)=1,IF(AND(YEAR(DezDom1+9)=CalendárioAno,MONTH(DezDom1+9)=12),DezDom1+9,""),IF(AND(YEAR(DezDom1+16)=CalendárioAno,MONTH(DezDom1+16)=12),DezDom1+16,""))</f>
        <v>43445</v>
      </c>
      <c r="AF46" s="3">
        <f>IF(DAY(DezDom1)=1,IF(AND(YEAR(DezDom1+10)=CalendárioAno,MONTH(DezDom1+10)=12),DezDom1+10,""),IF(AND(YEAR(DezDom1+17)=CalendárioAno,MONTH(DezDom1+17)=12),DezDom1+17,""))</f>
        <v>43446</v>
      </c>
      <c r="AG46" s="3">
        <f>IF(DAY(DezDom1)=1,IF(AND(YEAR(DezDom1+11)=CalendárioAno,MONTH(DezDom1+11)=12),DezDom1+11,""),IF(AND(YEAR(DezDom1+18)=CalendárioAno,MONTH(DezDom1+18)=12),DezDom1+18,""))</f>
        <v>43447</v>
      </c>
      <c r="AH46" s="3">
        <f>IF(DAY(DezDom1)=1,IF(AND(YEAR(DezDom1+12)=CalendárioAno,MONTH(DezDom1+12)=12),DezDom1+12,""),IF(AND(YEAR(DezDom1+19)=CalendárioAno,MONTH(DezDom1+19)=12),DezDom1+19,""))</f>
        <v>43448</v>
      </c>
      <c r="AI46" s="3">
        <f>IF(DAY(DezDom1)=1,IF(AND(YEAR(DezDom1+13)=CalendárioAno,MONTH(DezDom1+13)=12),DezDom1+13,""),IF(AND(YEAR(DezDom1+20)=CalendárioAno,MONTH(DezDom1+20)=12),DezDom1+20,""))</f>
        <v>43449</v>
      </c>
      <c r="AJ46" s="3">
        <f>IF(DAY(DezDom1)=1,IF(AND(YEAR(DezDom1+14)=CalendárioAno,MONTH(DezDom1+14)=12),DezDom1+14,""),IF(AND(YEAR(DezDom1+21)=CalendárioAno,MONTH(DezDom1+21)=12),DezDom1+21,""))</f>
        <v>43450</v>
      </c>
    </row>
    <row r="47" spans="3:36" x14ac:dyDescent="0.2">
      <c r="C47" s="3">
        <f>IF(DAY(SetDom1)=1,IF(AND(YEAR(SetDom1+15)=CalendárioAno,MONTH(SetDom1+15)=9),SetDom1+15,""),IF(AND(YEAR(SetDom1+22)=CalendárioAno,MONTH(SetDom1+22)=9),SetDom1+22,""))</f>
        <v>43360</v>
      </c>
      <c r="D47" s="3">
        <f>IF(DAY(SetDom1)=1,IF(AND(YEAR(SetDom1+16)=CalendárioAno,MONTH(SetDom1+16)=9),SetDom1+16,""),IF(AND(YEAR(SetDom1+23)=CalendárioAno,MONTH(SetDom1+23)=9),SetDom1+23,""))</f>
        <v>43361</v>
      </c>
      <c r="E47" s="3">
        <f>IF(DAY(SetDom1)=1,IF(AND(YEAR(SetDom1+17)=CalendárioAno,MONTH(SetDom1+17)=9),SetDom1+17,""),IF(AND(YEAR(SetDom1+24)=CalendárioAno,MONTH(SetDom1+24)=9),SetDom1+24,""))</f>
        <v>43362</v>
      </c>
      <c r="F47" s="3">
        <f>IF(DAY(SetDom1)=1,IF(AND(YEAR(SetDom1+18)=CalendárioAno,MONTH(SetDom1+18)=9),SetDom1+18,""),IF(AND(YEAR(SetDom1+25)=CalendárioAno,MONTH(SetDom1+25)=9),SetDom1+25,""))</f>
        <v>43363</v>
      </c>
      <c r="G47" s="3">
        <f>IF(DAY(SetDom1)=1,IF(AND(YEAR(SetDom1+19)=CalendárioAno,MONTH(SetDom1+19)=9),SetDom1+19,""),IF(AND(YEAR(SetDom1+26)=CalendárioAno,MONTH(SetDom1+26)=9),SetDom1+26,""))</f>
        <v>43364</v>
      </c>
      <c r="H47" s="3">
        <f>IF(DAY(SetDom1)=1,IF(AND(YEAR(SetDom1+20)=CalendárioAno,MONTH(SetDom1+20)=9),SetDom1+20,""),IF(AND(YEAR(SetDom1+27)=CalendárioAno,MONTH(SetDom1+27)=9),SetDom1+27,""))</f>
        <v>43365</v>
      </c>
      <c r="I47" s="3">
        <f>IF(DAY(SetDom1)=1,IF(AND(YEAR(SetDom1+21)=CalendárioAno,MONTH(SetDom1+21)=9),SetDom1+21,""),IF(AND(YEAR(SetDom1+28)=CalendárioAno,MONTH(SetDom1+28)=9),SetDom1+28,""))</f>
        <v>43366</v>
      </c>
      <c r="J47" s="11"/>
      <c r="K47" s="5"/>
      <c r="L47" s="3">
        <f>IF(DAY(OutDom1)=1,IF(AND(YEAR(OutDom1+15)=CalendárioAno,MONTH(OutDom1+15)=10),OutDom1+15,""),IF(AND(YEAR(OutDom1+22)=CalendárioAno,MONTH(OutDom1+22)=10),OutDom1+22,""))</f>
        <v>43395</v>
      </c>
      <c r="M47" s="3">
        <f>IF(DAY(OutDom1)=1,IF(AND(YEAR(OutDom1+16)=CalendárioAno,MONTH(OutDom1+16)=10),OutDom1+16,""),IF(AND(YEAR(OutDom1+23)=CalendárioAno,MONTH(OutDom1+23)=10),OutDom1+23,""))</f>
        <v>43396</v>
      </c>
      <c r="N47" s="3">
        <f>IF(DAY(OutDom1)=1,IF(AND(YEAR(OutDom1+17)=CalendárioAno,MONTH(OutDom1+17)=10),OutDom1+17,""),IF(AND(YEAR(OutDom1+24)=CalendárioAno,MONTH(OutDom1+24)=10),OutDom1+24,""))</f>
        <v>43397</v>
      </c>
      <c r="O47" s="3">
        <f>IF(DAY(OutDom1)=1,IF(AND(YEAR(OutDom1+18)=CalendárioAno,MONTH(OutDom1+18)=10),OutDom1+18,""),IF(AND(YEAR(OutDom1+25)=CalendárioAno,MONTH(OutDom1+25)=10),OutDom1+25,""))</f>
        <v>43398</v>
      </c>
      <c r="P47" s="3">
        <f>IF(DAY(OutDom1)=1,IF(AND(YEAR(OutDom1+19)=CalendárioAno,MONTH(OutDom1+19)=10),OutDom1+19,""),IF(AND(YEAR(OutDom1+26)=CalendárioAno,MONTH(OutDom1+26)=10),OutDom1+26,""))</f>
        <v>43399</v>
      </c>
      <c r="Q47" s="3">
        <f>IF(DAY(OutDom1)=1,IF(AND(YEAR(OutDom1+20)=CalendárioAno,MONTH(OutDom1+20)=10),OutDom1+20,""),IF(AND(YEAR(OutDom1+27)=CalendárioAno,MONTH(OutDom1+27)=10),OutDom1+27,""))</f>
        <v>43400</v>
      </c>
      <c r="R47" s="3">
        <f>IF(DAY(OutDom1)=1,IF(AND(YEAR(OutDom1+21)=CalendárioAno,MONTH(OutDom1+21)=10),OutDom1+21,""),IF(AND(YEAR(OutDom1+28)=CalendárioAno,MONTH(OutDom1+28)=10),OutDom1+28,""))</f>
        <v>43401</v>
      </c>
      <c r="S47" s="11"/>
      <c r="U47" s="3">
        <f>IF(DAY(NovDom1)=1,IF(AND(YEAR(NovDom1+15)=CalendárioAno,MONTH(NovDom1+15)=11),NovDom1+15,""),IF(AND(YEAR(NovDom1+22)=CalendárioAno,MONTH(NovDom1+22)=11),NovDom1+22,""))</f>
        <v>43423</v>
      </c>
      <c r="V47" s="3">
        <f>IF(DAY(NovDom1)=1,IF(AND(YEAR(NovDom1+16)=CalendárioAno,MONTH(NovDom1+16)=11),NovDom1+16,""),IF(AND(YEAR(NovDom1+23)=CalendárioAno,MONTH(NovDom1+23)=11),NovDom1+23,""))</f>
        <v>43424</v>
      </c>
      <c r="W47" s="3">
        <f>IF(DAY(NovDom1)=1,IF(AND(YEAR(NovDom1+17)=CalendárioAno,MONTH(NovDom1+17)=11),NovDom1+17,""),IF(AND(YEAR(NovDom1+24)=CalendárioAno,MONTH(NovDom1+24)=11),NovDom1+24,""))</f>
        <v>43425</v>
      </c>
      <c r="X47" s="3">
        <f>IF(DAY(NovDom1)=1,IF(AND(YEAR(NovDom1+18)=CalendárioAno,MONTH(NovDom1+18)=11),NovDom1+18,""),IF(AND(YEAR(NovDom1+25)=CalendárioAno,MONTH(NovDom1+25)=11),NovDom1+25,""))</f>
        <v>43426</v>
      </c>
      <c r="Y47" s="3">
        <f>IF(DAY(NovDom1)=1,IF(AND(YEAR(NovDom1+19)=CalendárioAno,MONTH(NovDom1+19)=11),NovDom1+19,""),IF(AND(YEAR(NovDom1+26)=CalendárioAno,MONTH(NovDom1+26)=11),NovDom1+26,""))</f>
        <v>43427</v>
      </c>
      <c r="Z47" s="3">
        <f>IF(DAY(NovDom1)=1,IF(AND(YEAR(NovDom1+20)=CalendárioAno,MONTH(NovDom1+20)=11),NovDom1+20,""),IF(AND(YEAR(NovDom1+27)=CalendárioAno,MONTH(NovDom1+27)=11),NovDom1+27,""))</f>
        <v>43428</v>
      </c>
      <c r="AA47" s="3">
        <f>IF(DAY(NovDom1)=1,IF(AND(YEAR(NovDom1+21)=CalendárioAno,MONTH(NovDom1+21)=11),NovDom1+21,""),IF(AND(YEAR(NovDom1+28)=CalendárioAno,MONTH(NovDom1+28)=11),NovDom1+28,""))</f>
        <v>43429</v>
      </c>
      <c r="AB47" s="11"/>
      <c r="AC47" s="5"/>
      <c r="AD47" s="3">
        <f>IF(DAY(DezDom1)=1,IF(AND(YEAR(DezDom1+15)=CalendárioAno,MONTH(DezDom1+15)=12),DezDom1+15,""),IF(AND(YEAR(DezDom1+22)=CalendárioAno,MONTH(DezDom1+22)=12),DezDom1+22,""))</f>
        <v>43451</v>
      </c>
      <c r="AE47" s="3">
        <f>IF(DAY(DezDom1)=1,IF(AND(YEAR(DezDom1+16)=CalendárioAno,MONTH(DezDom1+16)=12),DezDom1+16,""),IF(AND(YEAR(DezDom1+23)=CalendárioAno,MONTH(DezDom1+23)=12),DezDom1+23,""))</f>
        <v>43452</v>
      </c>
      <c r="AF47" s="3">
        <f>IF(DAY(DezDom1)=1,IF(AND(YEAR(DezDom1+17)=CalendárioAno,MONTH(DezDom1+17)=12),DezDom1+17,""),IF(AND(YEAR(DezDom1+24)=CalendárioAno,MONTH(DezDom1+24)=12),DezDom1+24,""))</f>
        <v>43453</v>
      </c>
      <c r="AG47" s="3">
        <f>IF(DAY(DezDom1)=1,IF(AND(YEAR(DezDom1+18)=CalendárioAno,MONTH(DezDom1+18)=12),DezDom1+18,""),IF(AND(YEAR(DezDom1+25)=CalendárioAno,MONTH(DezDom1+25)=12),DezDom1+25,""))</f>
        <v>43454</v>
      </c>
      <c r="AH47" s="3">
        <f>IF(DAY(DezDom1)=1,IF(AND(YEAR(DezDom1+19)=CalendárioAno,MONTH(DezDom1+19)=12),DezDom1+19,""),IF(AND(YEAR(DezDom1+26)=CalendárioAno,MONTH(DezDom1+26)=12),DezDom1+26,""))</f>
        <v>43455</v>
      </c>
      <c r="AI47" s="3">
        <f>IF(DAY(DezDom1)=1,IF(AND(YEAR(DezDom1+20)=CalendárioAno,MONTH(DezDom1+20)=12),DezDom1+20,""),IF(AND(YEAR(DezDom1+27)=CalendárioAno,MONTH(DezDom1+27)=12),DezDom1+27,""))</f>
        <v>43456</v>
      </c>
      <c r="AJ47" s="3">
        <f>IF(DAY(DezDom1)=1,IF(AND(YEAR(DezDom1+21)=CalendárioAno,MONTH(DezDom1+21)=12),DezDom1+21,""),IF(AND(YEAR(DezDom1+28)=CalendárioAno,MONTH(DezDom1+28)=12),DezDom1+28,""))</f>
        <v>43457</v>
      </c>
    </row>
    <row r="48" spans="3:36" x14ac:dyDescent="0.2">
      <c r="C48" s="3">
        <f>IF(DAY(SetDom1)=1,IF(AND(YEAR(SetDom1+22)=CalendárioAno,MONTH(SetDom1+22)=9),SetDom1+22,""),IF(AND(YEAR(SetDom1+29)=CalendárioAno,MONTH(SetDom1+29)=9),SetDom1+29,""))</f>
        <v>43367</v>
      </c>
      <c r="D48" s="3">
        <f>IF(DAY(SetDom1)=1,IF(AND(YEAR(SetDom1+23)=CalendárioAno,MONTH(SetDom1+23)=9),SetDom1+23,""),IF(AND(YEAR(SetDom1+30)=CalendárioAno,MONTH(SetDom1+30)=9),SetDom1+30,""))</f>
        <v>43368</v>
      </c>
      <c r="E48" s="3">
        <f>IF(DAY(SetDom1)=1,IF(AND(YEAR(SetDom1+24)=CalendárioAno,MONTH(SetDom1+24)=9),SetDom1+24,""),IF(AND(YEAR(SetDom1+31)=CalendárioAno,MONTH(SetDom1+31)=9),SetDom1+31,""))</f>
        <v>43369</v>
      </c>
      <c r="F48" s="3">
        <f>IF(DAY(SetDom1)=1,IF(AND(YEAR(SetDom1+25)=CalendárioAno,MONTH(SetDom1+25)=9),SetDom1+25,""),IF(AND(YEAR(SetDom1+32)=CalendárioAno,MONTH(SetDom1+32)=9),SetDom1+32,""))</f>
        <v>43370</v>
      </c>
      <c r="G48" s="3">
        <f>IF(DAY(SetDom1)=1,IF(AND(YEAR(SetDom1+26)=CalendárioAno,MONTH(SetDom1+26)=9),SetDom1+26,""),IF(AND(YEAR(SetDom1+33)=CalendárioAno,MONTH(SetDom1+33)=9),SetDom1+33,""))</f>
        <v>43371</v>
      </c>
      <c r="H48" s="3">
        <f>IF(DAY(SetDom1)=1,IF(AND(YEAR(SetDom1+27)=CalendárioAno,MONTH(SetDom1+27)=9),SetDom1+27,""),IF(AND(YEAR(SetDom1+34)=CalendárioAno,MONTH(SetDom1+34)=9),SetDom1+34,""))</f>
        <v>43372</v>
      </c>
      <c r="I48" s="3">
        <f>IF(DAY(SetDom1)=1,IF(AND(YEAR(SetDom1+28)=CalendárioAno,MONTH(SetDom1+28)=9),SetDom1+28,""),IF(AND(YEAR(SetDom1+35)=CalendárioAno,MONTH(SetDom1+35)=9),SetDom1+35,""))</f>
        <v>43373</v>
      </c>
      <c r="J48" s="11"/>
      <c r="K48" s="5"/>
      <c r="L48" s="3">
        <f>IF(DAY(OutDom1)=1,IF(AND(YEAR(OutDom1+22)=CalendárioAno,MONTH(OutDom1+22)=10),OutDom1+22,""),IF(AND(YEAR(OutDom1+29)=CalendárioAno,MONTH(OutDom1+29)=10),OutDom1+29,""))</f>
        <v>43402</v>
      </c>
      <c r="M48" s="3">
        <f>IF(DAY(OutDom1)=1,IF(AND(YEAR(OutDom1+23)=CalendárioAno,MONTH(OutDom1+23)=10),OutDom1+23,""),IF(AND(YEAR(OutDom1+30)=CalendárioAno,MONTH(OutDom1+30)=10),OutDom1+30,""))</f>
        <v>43403</v>
      </c>
      <c r="N48" s="3">
        <f>IF(DAY(OutDom1)=1,IF(AND(YEAR(OutDom1+24)=CalendárioAno,MONTH(OutDom1+24)=10),OutDom1+24,""),IF(AND(YEAR(OutDom1+31)=CalendárioAno,MONTH(OutDom1+31)=10),OutDom1+31,""))</f>
        <v>43404</v>
      </c>
      <c r="O48" s="3" t="str">
        <f>IF(DAY(OutDom1)=1,IF(AND(YEAR(OutDom1+25)=CalendárioAno,MONTH(OutDom1+25)=10),OutDom1+25,""),IF(AND(YEAR(OutDom1+32)=CalendárioAno,MONTH(OutDom1+32)=10),OutDom1+32,""))</f>
        <v/>
      </c>
      <c r="P48" s="3" t="str">
        <f>IF(DAY(OutDom1)=1,IF(AND(YEAR(OutDom1+26)=CalendárioAno,MONTH(OutDom1+26)=10),OutDom1+26,""),IF(AND(YEAR(OutDom1+33)=CalendárioAno,MONTH(OutDom1+33)=10),OutDom1+33,""))</f>
        <v/>
      </c>
      <c r="Q48" s="3" t="str">
        <f>IF(DAY(OutDom1)=1,IF(AND(YEAR(OutDom1+27)=CalendárioAno,MONTH(OutDom1+27)=10),OutDom1+27,""),IF(AND(YEAR(OutDom1+34)=CalendárioAno,MONTH(OutDom1+34)=10),OutDom1+34,""))</f>
        <v/>
      </c>
      <c r="R48" s="3" t="str">
        <f>IF(DAY(OutDom1)=1,IF(AND(YEAR(OutDom1+28)=CalendárioAno,MONTH(OutDom1+28)=10),OutDom1+28,""),IF(AND(YEAR(OutDom1+35)=CalendárioAno,MONTH(OutDom1+35)=10),OutDom1+35,""))</f>
        <v/>
      </c>
      <c r="S48" s="11"/>
      <c r="U48" s="3">
        <f>IF(DAY(NovDom1)=1,IF(AND(YEAR(NovDom1+22)=CalendárioAno,MONTH(NovDom1+22)=11),NovDom1+22,""),IF(AND(YEAR(NovDom1+29)=CalendárioAno,MONTH(NovDom1+29)=11),NovDom1+29,""))</f>
        <v>43430</v>
      </c>
      <c r="V48" s="3">
        <f>IF(DAY(NovDom1)=1,IF(AND(YEAR(NovDom1+23)=CalendárioAno,MONTH(NovDom1+23)=11),NovDom1+23,""),IF(AND(YEAR(NovDom1+30)=CalendárioAno,MONTH(NovDom1+30)=11),NovDom1+30,""))</f>
        <v>43431</v>
      </c>
      <c r="W48" s="3">
        <f>IF(DAY(NovDom1)=1,IF(AND(YEAR(NovDom1+24)=CalendárioAno,MONTH(NovDom1+24)=11),NovDom1+24,""),IF(AND(YEAR(NovDom1+31)=CalendárioAno,MONTH(NovDom1+31)=11),NovDom1+31,""))</f>
        <v>43432</v>
      </c>
      <c r="X48" s="3">
        <f>IF(DAY(NovDom1)=1,IF(AND(YEAR(NovDom1+25)=CalendárioAno,MONTH(NovDom1+25)=11),NovDom1+25,""),IF(AND(YEAR(NovDom1+32)=CalendárioAno,MONTH(NovDom1+32)=11),NovDom1+32,""))</f>
        <v>43433</v>
      </c>
      <c r="Y48" s="3">
        <f>IF(DAY(NovDom1)=1,IF(AND(YEAR(NovDom1+26)=CalendárioAno,MONTH(NovDom1+26)=11),NovDom1+26,""),IF(AND(YEAR(NovDom1+33)=CalendárioAno,MONTH(NovDom1+33)=11),NovDom1+33,""))</f>
        <v>43434</v>
      </c>
      <c r="Z48" s="3" t="str">
        <f>IF(DAY(NovDom1)=1,IF(AND(YEAR(NovDom1+27)=CalendárioAno,MONTH(NovDom1+27)=11),NovDom1+27,""),IF(AND(YEAR(NovDom1+34)=CalendárioAno,MONTH(NovDom1+34)=11),NovDom1+34,""))</f>
        <v/>
      </c>
      <c r="AA48" s="3" t="str">
        <f>IF(DAY(NovDom1)=1,IF(AND(YEAR(NovDom1+28)=CalendárioAno,MONTH(NovDom1+28)=11),NovDom1+28,""),IF(AND(YEAR(NovDom1+35)=CalendárioAno,MONTH(NovDom1+35)=11),NovDom1+35,""))</f>
        <v/>
      </c>
      <c r="AB48" s="11"/>
      <c r="AC48" s="5"/>
      <c r="AD48" s="3">
        <f>IF(DAY(DezDom1)=1,IF(AND(YEAR(DezDom1+22)=CalendárioAno,MONTH(DezDom1+22)=12),DezDom1+22,""),IF(AND(YEAR(DezDom1+29)=CalendárioAno,MONTH(DezDom1+29)=12),DezDom1+29,""))</f>
        <v>43458</v>
      </c>
      <c r="AE48" s="3">
        <f>IF(DAY(DezDom1)=1,IF(AND(YEAR(DezDom1+23)=CalendárioAno,MONTH(DezDom1+23)=12),DezDom1+23,""),IF(AND(YEAR(DezDom1+30)=CalendárioAno,MONTH(DezDom1+30)=12),DezDom1+30,""))</f>
        <v>43459</v>
      </c>
      <c r="AF48" s="3">
        <f>IF(DAY(DezDom1)=1,IF(AND(YEAR(DezDom1+24)=CalendárioAno,MONTH(DezDom1+24)=12),DezDom1+24,""),IF(AND(YEAR(DezDom1+31)=CalendárioAno,MONTH(DezDom1+31)=12),DezDom1+31,""))</f>
        <v>43460</v>
      </c>
      <c r="AG48" s="3">
        <f>IF(DAY(DezDom1)=1,IF(AND(YEAR(DezDom1+25)=CalendárioAno,MONTH(DezDom1+25)=12),DezDom1+25,""),IF(AND(YEAR(DezDom1+32)=CalendárioAno,MONTH(DezDom1+32)=12),DezDom1+32,""))</f>
        <v>43461</v>
      </c>
      <c r="AH48" s="3">
        <f>IF(DAY(DezDom1)=1,IF(AND(YEAR(DezDom1+26)=CalendárioAno,MONTH(DezDom1+26)=12),DezDom1+26,""),IF(AND(YEAR(DezDom1+33)=CalendárioAno,MONTH(DezDom1+33)=12),DezDom1+33,""))</f>
        <v>43462</v>
      </c>
      <c r="AI48" s="3">
        <f>IF(DAY(DezDom1)=1,IF(AND(YEAR(DezDom1+27)=CalendárioAno,MONTH(DezDom1+27)=12),DezDom1+27,""),IF(AND(YEAR(DezDom1+34)=CalendárioAno,MONTH(DezDom1+34)=12),DezDom1+34,""))</f>
        <v>43463</v>
      </c>
      <c r="AJ48" s="3">
        <f>IF(DAY(DezDom1)=1,IF(AND(YEAR(DezDom1+28)=CalendárioAno,MONTH(DezDom1+28)=12),DezDom1+28,""),IF(AND(YEAR(DezDom1+35)=CalendárioAno,MONTH(DezDom1+35)=12),DezDom1+35,""))</f>
        <v>43464</v>
      </c>
    </row>
    <row r="49" spans="3:36" x14ac:dyDescent="0.2">
      <c r="C49" s="3" t="str">
        <f>IF(DAY(SetDom1)=1,IF(AND(YEAR(SetDom1+29)=CalendárioAno,MONTH(SetDom1+29)=9),SetDom1+29,""),IF(AND(YEAR(SetDom1+36)=CalendárioAno,MONTH(SetDom1+36)=9),SetDom1+36,""))</f>
        <v/>
      </c>
      <c r="D49" s="3" t="str">
        <f>IF(DAY(SetDom1)=1,IF(AND(YEAR(SetDom1+30)=CalendárioAno,MONTH(SetDom1+30)=9),SetDom1+30,""),IF(AND(YEAR(SetDom1+37)=CalendárioAno,MONTH(SetDom1+37)=9),SetDom1+37,""))</f>
        <v/>
      </c>
      <c r="E49" s="3" t="str">
        <f>IF(DAY(SetDom1)=1,IF(AND(YEAR(SetDom1+31)=CalendárioAno,MONTH(SetDom1+31)=9),SetDom1+31,""),IF(AND(YEAR(SetDom1+38)=CalendárioAno,MONTH(SetDom1+38)=9),SetDom1+38,""))</f>
        <v/>
      </c>
      <c r="F49" s="3" t="str">
        <f>IF(DAY(SetDom1)=1,IF(AND(YEAR(SetDom1+32)=CalendárioAno,MONTH(SetDom1+32)=9),SetDom1+32,""),IF(AND(YEAR(SetDom1+39)=CalendárioAno,MONTH(SetDom1+39)=9),SetDom1+39,""))</f>
        <v/>
      </c>
      <c r="G49" s="3" t="str">
        <f>IF(DAY(SetDom1)=1,IF(AND(YEAR(SetDom1+33)=CalendárioAno,MONTH(SetDom1+33)=9),SetDom1+33,""),IF(AND(YEAR(SetDom1+40)=CalendárioAno,MONTH(SetDom1+40)=9),SetDom1+40,""))</f>
        <v/>
      </c>
      <c r="H49" s="3" t="str">
        <f>IF(DAY(SetDom1)=1,IF(AND(YEAR(SetDom1+34)=CalendárioAno,MONTH(SetDom1+34)=9),SetDom1+34,""),IF(AND(YEAR(SetDom1+41)=CalendárioAno,MONTH(SetDom1+41)=9),SetDom1+41,""))</f>
        <v/>
      </c>
      <c r="I49" s="3" t="str">
        <f>IF(DAY(SetDom1)=1,IF(AND(YEAR(SetDom1+35)=CalendárioAno,MONTH(SetDom1+35)=9),SetDom1+35,""),IF(AND(YEAR(SetDom1+42)=CalendárioAno,MONTH(SetDom1+42)=9),SetDom1+42,""))</f>
        <v/>
      </c>
      <c r="J49" s="11"/>
      <c r="K49" s="5"/>
      <c r="L49" s="3" t="str">
        <f>IF(DAY(OutDom1)=1,IF(AND(YEAR(OutDom1+29)=CalendárioAno,MONTH(OutDom1+29)=10),OutDom1+29,""),IF(AND(YEAR(OutDom1+36)=CalendárioAno,MONTH(OutDom1+36)=10),OutDom1+36,""))</f>
        <v/>
      </c>
      <c r="M49" s="3" t="str">
        <f>IF(DAY(OutDom1)=1,IF(AND(YEAR(OutDom1+30)=CalendárioAno,MONTH(OutDom1+30)=10),OutDom1+30,""),IF(AND(YEAR(OutDom1+37)=CalendárioAno,MONTH(OutDom1+37)=10),OutDom1+37,""))</f>
        <v/>
      </c>
      <c r="N49" s="3" t="str">
        <f>IF(DAY(OutDom1)=1,IF(AND(YEAR(OutDom1+31)=CalendárioAno,MONTH(OutDom1+31)=10),OutDom1+31,""),IF(AND(YEAR(OutDom1+38)=CalendárioAno,MONTH(OutDom1+38)=10),OutDom1+38,""))</f>
        <v/>
      </c>
      <c r="O49" s="3" t="str">
        <f>IF(DAY(OutDom1)=1,IF(AND(YEAR(OutDom1+32)=CalendárioAno,MONTH(OutDom1+32)=10),OutDom1+32,""),IF(AND(YEAR(OutDom1+39)=CalendárioAno,MONTH(OutDom1+39)=10),OutDom1+39,""))</f>
        <v/>
      </c>
      <c r="P49" s="3" t="str">
        <f>IF(DAY(OutDom1)=1,IF(AND(YEAR(OutDom1+33)=CalendárioAno,MONTH(OutDom1+33)=10),OutDom1+33,""),IF(AND(YEAR(OutDom1+40)=CalendárioAno,MONTH(OutDom1+40)=10),OutDom1+40,""))</f>
        <v/>
      </c>
      <c r="Q49" s="3" t="str">
        <f>IF(DAY(OutDom1)=1,IF(AND(YEAR(OutDom1+34)=CalendárioAno,MONTH(OutDom1+34)=10),OutDom1+34,""),IF(AND(YEAR(OutDom1+41)=CalendárioAno,MONTH(OutDom1+41)=10),OutDom1+41,""))</f>
        <v/>
      </c>
      <c r="R49" s="3" t="str">
        <f>IF(DAY(OutDom1)=1,IF(AND(YEAR(OutDom1+35)=CalendárioAno,MONTH(OutDom1+35)=10),OutDom1+35,""),IF(AND(YEAR(OutDom1+42)=CalendárioAno,MONTH(OutDom1+42)=10),OutDom1+42,""))</f>
        <v/>
      </c>
      <c r="S49" s="11"/>
      <c r="U49" s="3" t="str">
        <f>IF(DAY(NovDom1)=1,IF(AND(YEAR(NovDom1+29)=CalendárioAno,MONTH(NovDom1+29)=11),NovDom1+29,""),IF(AND(YEAR(NovDom1+36)=CalendárioAno,MONTH(NovDom1+36)=11),NovDom1+36,""))</f>
        <v/>
      </c>
      <c r="V49" s="3" t="str">
        <f>IF(DAY(NovDom1)=1,IF(AND(YEAR(NovDom1+30)=CalendárioAno,MONTH(NovDom1+30)=11),NovDom1+30,""),IF(AND(YEAR(NovDom1+37)=CalendárioAno,MONTH(NovDom1+37)=11),NovDom1+37,""))</f>
        <v/>
      </c>
      <c r="W49" s="3" t="str">
        <f>IF(DAY(NovDom1)=1,IF(AND(YEAR(NovDom1+31)=CalendárioAno,MONTH(NovDom1+31)=11),NovDom1+31,""),IF(AND(YEAR(NovDom1+38)=CalendárioAno,MONTH(NovDom1+38)=11),NovDom1+38,""))</f>
        <v/>
      </c>
      <c r="X49" s="3" t="str">
        <f>IF(DAY(NovDom1)=1,IF(AND(YEAR(NovDom1+32)=CalendárioAno,MONTH(NovDom1+32)=11),NovDom1+32,""),IF(AND(YEAR(NovDom1+39)=CalendárioAno,MONTH(NovDom1+39)=11),NovDom1+39,""))</f>
        <v/>
      </c>
      <c r="Y49" s="3" t="str">
        <f>IF(DAY(NovDom1)=1,IF(AND(YEAR(NovDom1+33)=CalendárioAno,MONTH(NovDom1+33)=11),NovDom1+33,""),IF(AND(YEAR(NovDom1+40)=CalendárioAno,MONTH(NovDom1+40)=11),NovDom1+40,""))</f>
        <v/>
      </c>
      <c r="Z49" s="3" t="str">
        <f>IF(DAY(NovDom1)=1,IF(AND(YEAR(NovDom1+34)=CalendárioAno,MONTH(NovDom1+34)=11),NovDom1+34,""),IF(AND(YEAR(NovDom1+41)=CalendárioAno,MONTH(NovDom1+41)=11),NovDom1+41,""))</f>
        <v/>
      </c>
      <c r="AA49" s="3" t="str">
        <f>IF(DAY(NovDom1)=1,IF(AND(YEAR(NovDom1+35)=CalendárioAno,MONTH(NovDom1+35)=11),NovDom1+35,""),IF(AND(YEAR(NovDom1+42)=CalendárioAno,MONTH(NovDom1+42)=11),NovDom1+42,""))</f>
        <v/>
      </c>
      <c r="AB49" s="11"/>
      <c r="AC49" s="5"/>
      <c r="AD49" s="3">
        <f>IF(DAY(DezDom1)=1,IF(AND(YEAR(DezDom1+29)=CalendárioAno,MONTH(DezDom1+29)=12),DezDom1+29,""),IF(AND(YEAR(DezDom1+36)=CalendárioAno,MONTH(DezDom1+36)=12),DezDom1+36,""))</f>
        <v>43465</v>
      </c>
      <c r="AE49" s="3" t="str">
        <f>IF(DAY(DezDom1)=1,IF(AND(YEAR(DezDom1+30)=CalendárioAno,MONTH(DezDom1+30)=12),DezDom1+30,""),IF(AND(YEAR(DezDom1+37)=CalendárioAno,MONTH(DezDom1+37)=12),DezDom1+37,""))</f>
        <v/>
      </c>
      <c r="AF49" s="3" t="str">
        <f>IF(DAY(DezDom1)=1,IF(AND(YEAR(DezDom1+31)=CalendárioAno,MONTH(DezDom1+31)=12),DezDom1+31,""),IF(AND(YEAR(DezDom1+38)=CalendárioAno,MONTH(DezDom1+38)=12),DezDom1+38,""))</f>
        <v/>
      </c>
      <c r="AG49" s="3" t="str">
        <f>IF(DAY(DezDom1)=1,IF(AND(YEAR(DezDom1+32)=CalendárioAno,MONTH(DezDom1+32)=12),DezDom1+32,""),IF(AND(YEAR(DezDom1+39)=CalendárioAno,MONTH(DezDom1+39)=12),DezDom1+39,""))</f>
        <v/>
      </c>
      <c r="AH49" s="3" t="str">
        <f>IF(DAY(DezDom1)=1,IF(AND(YEAR(DezDom1+33)=CalendárioAno,MONTH(DezDom1+33)=12),DezDom1+33,""),IF(AND(YEAR(DezDom1+40)=CalendárioAno,MONTH(DezDom1+40)=12),DezDom1+40,""))</f>
        <v/>
      </c>
      <c r="AI49" s="3" t="str">
        <f>IF(DAY(DezDom1)=1,IF(AND(YEAR(DezDom1+34)=CalendárioAno,MONTH(DezDom1+34)=12),DezDom1+34,""),IF(AND(YEAR(DezDom1+41)=CalendárioAno,MONTH(DezDom1+41)=12),DezDom1+41,""))</f>
        <v/>
      </c>
      <c r="AJ49" s="3" t="str">
        <f>IF(DAY(DezDom1)=1,IF(AND(YEAR(DezDom1+35)=CalendárioAno,MONTH(DezDom1+35)=12),DezDom1+35,""),IF(AND(YEAR(DezDom1+42)=CalendárioAno,MONTH(DezDom1+42)=12),DezDom1+42,""))</f>
        <v/>
      </c>
    </row>
    <row r="50" spans="3:36" x14ac:dyDescent="0.2">
      <c r="C50" s="6"/>
      <c r="D50" s="6"/>
      <c r="E50" s="6"/>
      <c r="F50" s="6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</row>
  </sheetData>
  <mergeCells count="61">
    <mergeCell ref="D3:AD3"/>
    <mergeCell ref="AE3:AI3"/>
    <mergeCell ref="U19:AI19"/>
    <mergeCell ref="U20:AI20"/>
    <mergeCell ref="H17:Q17"/>
    <mergeCell ref="H18:Q18"/>
    <mergeCell ref="H19:Q19"/>
    <mergeCell ref="H20:Q20"/>
    <mergeCell ref="U6:AI6"/>
    <mergeCell ref="U7:AI7"/>
    <mergeCell ref="U8:AI8"/>
    <mergeCell ref="U9:AI9"/>
    <mergeCell ref="U10:AI10"/>
    <mergeCell ref="U11:AI11"/>
    <mergeCell ref="U12:AI12"/>
    <mergeCell ref="U13:AI13"/>
    <mergeCell ref="U14:AI14"/>
    <mergeCell ref="U15:AI15"/>
    <mergeCell ref="U16:AI16"/>
    <mergeCell ref="U17:AI17"/>
    <mergeCell ref="U18:AI18"/>
    <mergeCell ref="D17:G17"/>
    <mergeCell ref="D18:G18"/>
    <mergeCell ref="D19:G19"/>
    <mergeCell ref="D20:G20"/>
    <mergeCell ref="H15:Q15"/>
    <mergeCell ref="H16:Q16"/>
    <mergeCell ref="D16:G16"/>
    <mergeCell ref="D6:G6"/>
    <mergeCell ref="D7:G7"/>
    <mergeCell ref="D8:G8"/>
    <mergeCell ref="D9:G9"/>
    <mergeCell ref="D10:G10"/>
    <mergeCell ref="H6:Q6"/>
    <mergeCell ref="H7:Q7"/>
    <mergeCell ref="H8:Q8"/>
    <mergeCell ref="H9:Q9"/>
    <mergeCell ref="D22:E22"/>
    <mergeCell ref="D21:E21"/>
    <mergeCell ref="H10:Q10"/>
    <mergeCell ref="H11:Q11"/>
    <mergeCell ref="H12:Q12"/>
    <mergeCell ref="H13:Q13"/>
    <mergeCell ref="H14:Q14"/>
    <mergeCell ref="D11:G11"/>
    <mergeCell ref="D12:G12"/>
    <mergeCell ref="D13:G13"/>
    <mergeCell ref="D14:G14"/>
    <mergeCell ref="D15:G15"/>
    <mergeCell ref="C42:I42"/>
    <mergeCell ref="L42:R42"/>
    <mergeCell ref="U42:AA42"/>
    <mergeCell ref="AD42:AJ42"/>
    <mergeCell ref="C24:I24"/>
    <mergeCell ref="L24:R24"/>
    <mergeCell ref="U24:AA24"/>
    <mergeCell ref="AD24:AJ24"/>
    <mergeCell ref="C33:I33"/>
    <mergeCell ref="L33:R33"/>
    <mergeCell ref="U33:AA33"/>
    <mergeCell ref="AD33:AJ33"/>
  </mergeCells>
  <conditionalFormatting sqref="C26:I31 L26:R31 U26:AA31 AD26:AJ31 C35:I40 L35:R40 U35:AA40 AD35:AJ40 C44:I49 L44:R49 U44:AA49 AD44:AJ49">
    <cfRule type="expression" dxfId="0" priority="1">
      <formula>VLOOKUP(C26,DatasImportantes,1,FALSE)=C26</formula>
    </cfRule>
  </conditionalFormatting>
  <printOptions horizontalCentered="1"/>
  <pageMargins left="0.5" right="0.5" top="0.75" bottom="0.75" header="0.3" footer="0.3"/>
  <pageSetup scale="67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AF3.">
                <anchor moveWithCells="1">
                  <from>
                    <xdr:col>34</xdr:col>
                    <xdr:colOff>200025</xdr:colOff>
                    <xdr:row>2</xdr:row>
                    <xdr:rowOff>85725</xdr:rowOff>
                  </from>
                  <to>
                    <xdr:col>35</xdr:col>
                    <xdr:colOff>133350</xdr:colOff>
                    <xdr:row>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A740085-26DB-45CA-92E5-83C28E018D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Calendário de Limpeza </vt:lpstr>
      <vt:lpstr>CalendárioAno</vt:lpstr>
      <vt:lpstr>DatasImportantes</vt:lpstr>
      <vt:lpstr>'Calendário de Limpeza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2015-01-09T13:36:29Z</dcterms:created>
  <dcterms:modified xsi:type="dcterms:W3CDTF">2018-01-19T00:08:43Z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TC025506549991</vt:lpwstr>
  </property>
</Properties>
</file>